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J:\Tarifa TECA\16 - Tarifas &amp; Legislacao\2026\"/>
    </mc:Choice>
  </mc:AlternateContent>
  <xr:revisionPtr revIDLastSave="0" documentId="13_ncr:1_{5FDDF8F6-14DA-4217-A5A2-38F0795FADA6}" xr6:coauthVersionLast="47" xr6:coauthVersionMax="47" xr10:uidLastSave="{00000000-0000-0000-0000-000000000000}"/>
  <bookViews>
    <workbookView xWindow="28680" yWindow="-7545" windowWidth="24240" windowHeight="13140" xr2:uid="{073B8C92-06CF-495E-81E2-98F72352D498}"/>
  </bookViews>
  <sheets>
    <sheet name="IMPORTACAO" sheetId="10" r:id="rId1"/>
    <sheet name="EXPORTACAO" sheetId="12" r:id="rId2"/>
  </sheets>
  <definedNames>
    <definedName name="_xlnm.Print_Area" localSheetId="1">EXPORTACAO!$A$1:$BB$21</definedName>
    <definedName name="_xlnm.Print_Area" localSheetId="0">IMPORTACAO!$A$1:$CR$23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0" l="1"/>
  <c r="D6" i="12"/>
  <c r="AN11" i="12"/>
  <c r="AN12" i="12" s="1"/>
  <c r="AI11" i="12" l="1"/>
  <c r="AI12" i="12" s="1"/>
  <c r="AI13" i="12" s="1"/>
  <c r="AI14" i="12" s="1"/>
  <c r="AI15" i="12" s="1"/>
  <c r="AI16" i="12" s="1"/>
  <c r="AI17" i="12" s="1"/>
  <c r="AI18" i="12" s="1"/>
  <c r="AI19" i="12" s="1"/>
  <c r="AI20" i="12" s="1"/>
  <c r="AA9" i="12"/>
  <c r="AO12" i="12"/>
  <c r="G12" i="12" s="1"/>
  <c r="D12" i="12"/>
  <c r="AN13" i="12"/>
  <c r="AO11" i="12"/>
  <c r="G11" i="12" s="1"/>
  <c r="D11" i="12"/>
  <c r="AG9" i="12" l="1"/>
  <c r="AO13" i="12"/>
  <c r="G13" i="12" s="1"/>
  <c r="D13" i="12"/>
  <c r="AN14" i="12"/>
  <c r="AO14" i="12" l="1"/>
  <c r="G14" i="12" s="1"/>
  <c r="D14" i="12"/>
  <c r="AN15" i="12"/>
  <c r="AN16" i="12" l="1"/>
  <c r="D15" i="12"/>
  <c r="AO15" i="12"/>
  <c r="G15" i="12" s="1"/>
  <c r="AN17" i="12" l="1"/>
  <c r="D16" i="12"/>
  <c r="AO16" i="12"/>
  <c r="G16" i="12" s="1"/>
  <c r="AN18" i="12" l="1"/>
  <c r="AO17" i="12"/>
  <c r="G17" i="12" s="1"/>
  <c r="D17" i="12"/>
  <c r="AN19" i="12" l="1"/>
  <c r="AO18" i="12"/>
  <c r="G18" i="12" s="1"/>
  <c r="D18" i="12"/>
  <c r="AN20" i="12" l="1"/>
  <c r="AO19" i="12"/>
  <c r="G19" i="12" s="1"/>
  <c r="D19" i="12"/>
  <c r="AO20" i="12" l="1"/>
  <c r="G20" i="12" s="1"/>
  <c r="D20" i="12"/>
  <c r="CT8" i="10" l="1"/>
  <c r="W20" i="12" l="1"/>
  <c r="W19" i="12"/>
  <c r="W18" i="12"/>
  <c r="W17" i="12"/>
  <c r="W16" i="12"/>
  <c r="W15" i="12"/>
  <c r="W14" i="12"/>
  <c r="W13" i="12"/>
  <c r="W12" i="12"/>
  <c r="O10" i="10"/>
  <c r="DG6" i="10"/>
  <c r="DG7" i="10" s="1"/>
  <c r="DG8" i="10" s="1"/>
  <c r="DG9" i="10" s="1"/>
  <c r="DG10" i="10" s="1"/>
  <c r="DG11" i="10" s="1"/>
  <c r="DG12" i="10" s="1"/>
  <c r="DG13" i="10" s="1"/>
  <c r="DG14" i="10" s="1"/>
  <c r="DD8" i="10"/>
  <c r="DD9" i="10" s="1"/>
  <c r="DD10" i="10" s="1"/>
  <c r="DD11" i="10" s="1"/>
  <c r="DD12" i="10" s="1"/>
  <c r="DD13" i="10" s="1"/>
  <c r="DD14" i="10" s="1"/>
  <c r="DD24" i="10"/>
  <c r="DF24" i="10" s="1"/>
  <c r="DG24" i="10"/>
  <c r="DG25" i="10" s="1"/>
  <c r="DG26" i="10" s="1"/>
  <c r="DD25" i="10"/>
  <c r="DF25" i="10" s="1"/>
  <c r="DD26" i="10"/>
  <c r="DF26" i="10" s="1"/>
  <c r="DD28" i="10"/>
  <c r="DF28" i="10" s="1"/>
  <c r="DG28" i="10"/>
  <c r="DG29" i="10" s="1"/>
  <c r="DG30" i="10" s="1"/>
  <c r="DD29" i="10"/>
  <c r="DF29" i="10" s="1"/>
  <c r="DD30" i="10"/>
  <c r="DF30" i="10" s="1"/>
  <c r="DD32" i="10"/>
  <c r="DF32" i="10" s="1"/>
  <c r="DG32" i="10"/>
  <c r="DG33" i="10" s="1"/>
  <c r="DG34" i="10" s="1"/>
  <c r="DD33" i="10"/>
  <c r="DF33" i="10" s="1"/>
  <c r="DD34" i="10"/>
  <c r="DF34" i="10" s="1"/>
  <c r="DD36" i="10"/>
  <c r="DF36" i="10" s="1"/>
  <c r="DD37" i="10"/>
  <c r="DF37" i="10" s="1"/>
  <c r="DD38" i="10"/>
  <c r="DF38" i="10" s="1"/>
  <c r="CR20" i="10"/>
  <c r="CR19" i="10"/>
  <c r="CR18" i="10"/>
  <c r="CR17" i="10"/>
  <c r="CR16" i="10"/>
  <c r="CR15" i="10"/>
  <c r="CR14" i="10"/>
  <c r="CR13" i="10"/>
  <c r="CR12" i="10"/>
  <c r="AA12" i="12" l="1"/>
  <c r="AE12" i="12" s="1"/>
  <c r="AA14" i="12"/>
  <c r="AE14" i="12" s="1"/>
  <c r="AA16" i="12"/>
  <c r="AE16" i="12" s="1"/>
  <c r="AA19" i="12"/>
  <c r="AE19" i="12" s="1"/>
  <c r="AA13" i="12"/>
  <c r="AE13" i="12" s="1"/>
  <c r="AA15" i="12"/>
  <c r="AE15" i="12" s="1"/>
  <c r="AA17" i="12"/>
  <c r="AE17" i="12" s="1"/>
  <c r="AA18" i="12"/>
  <c r="AE18" i="12" s="1"/>
  <c r="AA20" i="12"/>
  <c r="AE20" i="12" s="1"/>
  <c r="W11" i="12"/>
  <c r="CR11" i="10"/>
  <c r="N7" i="10"/>
  <c r="K10" i="10" s="1"/>
  <c r="AA11" i="12" l="1"/>
  <c r="AE11" i="12" s="1"/>
  <c r="K14" i="10"/>
  <c r="K13" i="10"/>
  <c r="K20" i="10"/>
  <c r="K12" i="10"/>
  <c r="K19" i="10"/>
  <c r="K11" i="10"/>
  <c r="K18" i="10"/>
  <c r="K17" i="10"/>
  <c r="K16" i="10"/>
  <c r="K15" i="10"/>
  <c r="G10" i="10"/>
  <c r="AF7" i="10" l="1" a="1"/>
  <c r="AF7" i="10" s="1"/>
  <c r="AI11" i="10"/>
  <c r="AI12" i="10" s="1"/>
  <c r="AI13" i="10" s="1"/>
  <c r="AI14" i="10" s="1"/>
  <c r="AI15" i="10" s="1"/>
  <c r="AI16" i="10" s="1"/>
  <c r="AI17" i="10" s="1"/>
  <c r="AI18" i="10" s="1"/>
  <c r="AI19" i="10" s="1"/>
  <c r="AI20" i="10" s="1"/>
  <c r="CS20" i="10"/>
  <c r="G20" i="10" s="1"/>
  <c r="CS12" i="10"/>
  <c r="G12" i="10" s="1"/>
  <c r="CS15" i="10"/>
  <c r="G15" i="10" s="1"/>
  <c r="CS19" i="10"/>
  <c r="G19" i="10" s="1"/>
  <c r="CS11" i="10"/>
  <c r="G11" i="10" s="1"/>
  <c r="CS18" i="10"/>
  <c r="G18" i="10" s="1"/>
  <c r="CS17" i="10"/>
  <c r="G17" i="10" s="1"/>
  <c r="CS16" i="10"/>
  <c r="G16" i="10" s="1"/>
  <c r="CS14" i="10"/>
  <c r="G14" i="10" s="1"/>
  <c r="CS13" i="10"/>
  <c r="G13" i="10" s="1"/>
  <c r="O11" i="10" l="1"/>
  <c r="W11" i="10" s="1"/>
  <c r="AA11" i="10" s="1"/>
  <c r="W15" i="10"/>
  <c r="AA15" i="10" s="1"/>
  <c r="W12" i="10"/>
  <c r="AA12" i="10" s="1"/>
  <c r="W16" i="10"/>
  <c r="AA16" i="10" s="1"/>
  <c r="W18" i="10"/>
  <c r="AA18" i="10" s="1"/>
  <c r="W19" i="10"/>
  <c r="AA19" i="10" s="1"/>
  <c r="W13" i="10"/>
  <c r="AA13" i="10" s="1"/>
  <c r="W14" i="10"/>
  <c r="AA14" i="10" s="1"/>
  <c r="W20" i="10"/>
  <c r="AA20" i="10" s="1"/>
  <c r="W17" i="10"/>
  <c r="AA17" i="10" s="1"/>
  <c r="AE13" i="10" l="1"/>
  <c r="AE16" i="10"/>
  <c r="AE17" i="10"/>
  <c r="AE12" i="10"/>
  <c r="AE18" i="10"/>
  <c r="AE19" i="10"/>
  <c r="AE14" i="10"/>
  <c r="AE20" i="10"/>
  <c r="AE11" i="10"/>
  <c r="AE15" i="10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<sst xmlns="http://schemas.openxmlformats.org/spreadsheetml/2006/main" count="75" uniqueCount="39">
  <si>
    <t>CIF R$</t>
  </si>
  <si>
    <t>FAIXA</t>
  </si>
  <si>
    <t>PER</t>
  </si>
  <si>
    <t>%</t>
  </si>
  <si>
    <t>01</t>
  </si>
  <si>
    <t>05</t>
  </si>
  <si>
    <t>TAB</t>
  </si>
  <si>
    <t>MINIMO</t>
  </si>
  <si>
    <t>04</t>
  </si>
  <si>
    <t>02</t>
  </si>
  <si>
    <t>-</t>
  </si>
  <si>
    <t>EXPRESSA</t>
  </si>
  <si>
    <t>TAB03</t>
  </si>
  <si>
    <t>TAB06</t>
  </si>
  <si>
    <t>Sim</t>
  </si>
  <si>
    <t>Não</t>
  </si>
  <si>
    <t>DAI - DOCUMENTO DE ARRECADAÇÃO DE IMPORTAÇÃO</t>
  </si>
  <si>
    <t>VALOR A PAGAR</t>
  </si>
  <si>
    <t>Periodo</t>
  </si>
  <si>
    <t>Valor devido</t>
  </si>
  <si>
    <t>Retenção</t>
  </si>
  <si>
    <t>Valor a Pagar</t>
  </si>
  <si>
    <t>Data vencimento</t>
  </si>
  <si>
    <t>HORA DE ENTRADA NO TECA</t>
  </si>
  <si>
    <t>06</t>
  </si>
  <si>
    <t>07</t>
  </si>
  <si>
    <t>42.548.035/0001-00 - CONCESSIONARIA DOS AEROPORTOS DA AMAZONIA S/A - MAO</t>
  </si>
  <si>
    <t>PESO B</t>
  </si>
  <si>
    <t>PESO L</t>
  </si>
  <si>
    <t>03</t>
  </si>
  <si>
    <t>08</t>
  </si>
  <si>
    <t>09</t>
  </si>
  <si>
    <t>10</t>
  </si>
  <si>
    <t>SIMULAÇÃO</t>
  </si>
  <si>
    <t>TECA MAO - Funcionamento 24 x 7 - dias úteis</t>
  </si>
  <si>
    <t>Data de vencimento de acordo com a data da retirada da carga.</t>
  </si>
  <si>
    <t>FOB R$</t>
  </si>
  <si>
    <t>VOLUME</t>
  </si>
  <si>
    <t>DAE - DOCUMENTO DE ARRECADAÇÃO DE EXPORTAÇÃO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</si>
</sst>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00_-;\-* #,##0.0000_-;_-* &quot;-&quot;??_-;_-@_-"/>
    <numFmt numFmtId="165" formatCode="0.000%"/>
    <numFmt numFmtId="166" formatCode="0.0000%"/>
    <numFmt numFmtId="167" formatCode="_-* #,##0.000_-;\-* #,##0.000_-;_-* &quot;-&quot;??_-;_-@_-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0"/>
      <color theme="4" tint="-0.249977111117893"/>
      <name val="Aptos Narrow"/>
      <family val="2"/>
      <scheme val="minor"/>
    </font>
    <font>
      <sz val="10"/>
      <color theme="4" tint="-0.249977111117893"/>
      <name val="Aptos Narrow"/>
      <family val="2"/>
      <scheme val="minor"/>
    </font>
    <font>
      <sz val="11"/>
      <color theme="4" tint="-0.249977111117893"/>
      <name val="Aptos Narrow"/>
      <family val="2"/>
      <scheme val="minor"/>
    </font>
    <font>
      <b/>
      <sz val="11"/>
      <color theme="4" tint="-0.249977111117893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b/>
      <sz val="8"/>
      <color theme="5" tint="-0.249977111117893"/>
      <name val="Aptos Narrow"/>
      <family val="2"/>
      <scheme val="minor"/>
    </font>
    <font>
      <sz val="10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</cellStyleXfs>
  <cellXfs count="117">
    <xf numFmtId="0" fontId="0" fillId="0" borderId="0" xfId="0"/>
    <xf numFmtId="0" fontId="0" fillId="0" borderId="0" xfId="0" applyProtection="1">
      <protection hidden="1"/>
    </xf>
    <xf numFmtId="0" fontId="2" fillId="0" borderId="0" xfId="0" applyFont="1" applyProtection="1">
      <protection hidden="1"/>
    </xf>
    <xf numFmtId="0" fontId="0" fillId="0" borderId="0" xfId="0" applyAlignment="1" applyProtection="1">
      <alignment vertical="center"/>
      <protection hidden="1"/>
    </xf>
    <xf numFmtId="0" fontId="4" fillId="0" borderId="0" xfId="0" applyFont="1" applyAlignment="1" applyProtection="1">
      <alignment horizontal="center" vertical="center" textRotation="90"/>
      <protection hidden="1"/>
    </xf>
    <xf numFmtId="0" fontId="4" fillId="0" borderId="0" xfId="0" applyFont="1" applyAlignment="1" applyProtection="1">
      <alignment vertical="center"/>
      <protection hidden="1"/>
    </xf>
    <xf numFmtId="0" fontId="4" fillId="0" borderId="3" xfId="0" applyFont="1" applyBorder="1" applyAlignment="1" applyProtection="1">
      <alignment horizontal="centerContinuous" vertical="center"/>
      <protection hidden="1"/>
    </xf>
    <xf numFmtId="0" fontId="4" fillId="0" borderId="4" xfId="0" applyFont="1" applyBorder="1" applyAlignment="1" applyProtection="1">
      <alignment horizontal="centerContinuous" vertical="center"/>
      <protection hidden="1"/>
    </xf>
    <xf numFmtId="0" fontId="4" fillId="0" borderId="5" xfId="0" applyFont="1" applyBorder="1" applyAlignment="1" applyProtection="1">
      <alignment horizontal="centerContinuous" vertical="center"/>
      <protection hidden="1"/>
    </xf>
    <xf numFmtId="0" fontId="4" fillId="2" borderId="4" xfId="0" applyFont="1" applyFill="1" applyBorder="1" applyAlignment="1" applyProtection="1">
      <alignment horizontal="centerContinuous" vertical="center"/>
      <protection hidden="1"/>
    </xf>
    <xf numFmtId="0" fontId="4" fillId="2" borderId="5" xfId="0" applyFont="1" applyFill="1" applyBorder="1" applyAlignment="1" applyProtection="1">
      <alignment horizontal="centerContinuous" vertical="center"/>
      <protection hidden="1"/>
    </xf>
    <xf numFmtId="0" fontId="4" fillId="2" borderId="3" xfId="0" applyFont="1" applyFill="1" applyBorder="1" applyAlignment="1" applyProtection="1">
      <alignment horizontal="centerContinuous" vertical="center"/>
      <protection hidden="1"/>
    </xf>
    <xf numFmtId="0" fontId="4" fillId="2" borderId="3" xfId="0" applyFont="1" applyFill="1" applyBorder="1" applyAlignment="1" applyProtection="1">
      <alignment vertical="center"/>
      <protection hidden="1"/>
    </xf>
    <xf numFmtId="0" fontId="4" fillId="2" borderId="4" xfId="0" applyFont="1" applyFill="1" applyBorder="1" applyAlignment="1" applyProtection="1">
      <alignment vertical="center"/>
      <protection hidden="1"/>
    </xf>
    <xf numFmtId="0" fontId="4" fillId="2" borderId="5" xfId="0" applyFont="1" applyFill="1" applyBorder="1" applyAlignment="1" applyProtection="1">
      <alignment vertical="center"/>
      <protection hidden="1"/>
    </xf>
    <xf numFmtId="0" fontId="2" fillId="0" borderId="0" xfId="0" applyFont="1" applyAlignment="1" applyProtection="1">
      <alignment horizontal="centerContinuous"/>
      <protection hidden="1"/>
    </xf>
    <xf numFmtId="0" fontId="0" fillId="0" borderId="0" xfId="0" applyAlignment="1" applyProtection="1">
      <alignment horizontal="centerContinuous"/>
      <protection hidden="1"/>
    </xf>
    <xf numFmtId="0" fontId="8" fillId="0" borderId="0" xfId="0" applyFont="1" applyAlignment="1" applyProtection="1">
      <alignment horizontal="centerContinuous"/>
      <protection hidden="1"/>
    </xf>
    <xf numFmtId="0" fontId="0" fillId="0" borderId="0" xfId="0" applyAlignment="1" applyProtection="1">
      <alignment horizontal="center" vertical="center" textRotation="90"/>
      <protection hidden="1"/>
    </xf>
    <xf numFmtId="0" fontId="11" fillId="0" borderId="0" xfId="0" applyFont="1" applyProtection="1">
      <protection hidden="1"/>
    </xf>
    <xf numFmtId="0" fontId="9" fillId="0" borderId="4" xfId="0" applyFont="1" applyBorder="1" applyAlignment="1" applyProtection="1">
      <alignment horizontal="centerContinuous" vertical="center"/>
      <protection hidden="1"/>
    </xf>
    <xf numFmtId="0" fontId="9" fillId="0" borderId="5" xfId="0" applyFont="1" applyBorder="1" applyAlignment="1" applyProtection="1">
      <alignment horizontal="centerContinuous" vertical="center"/>
      <protection hidden="1"/>
    </xf>
    <xf numFmtId="43" fontId="9" fillId="0" borderId="3" xfId="1" applyFont="1" applyBorder="1" applyAlignment="1" applyProtection="1">
      <alignment horizontal="centerContinuous" vertical="center"/>
      <protection hidden="1"/>
    </xf>
    <xf numFmtId="43" fontId="9" fillId="0" borderId="4" xfId="1" applyFont="1" applyBorder="1" applyAlignment="1" applyProtection="1">
      <alignment horizontal="centerContinuous" vertical="center"/>
      <protection hidden="1"/>
    </xf>
    <xf numFmtId="43" fontId="9" fillId="0" borderId="5" xfId="1" applyFont="1" applyBorder="1" applyAlignment="1" applyProtection="1">
      <alignment horizontal="centerContinuous" vertical="center"/>
      <protection hidden="1"/>
    </xf>
    <xf numFmtId="0" fontId="9" fillId="0" borderId="3" xfId="0" applyFont="1" applyBorder="1" applyAlignment="1" applyProtection="1">
      <alignment vertical="center"/>
      <protection hidden="1"/>
    </xf>
    <xf numFmtId="0" fontId="9" fillId="0" borderId="4" xfId="0" applyFont="1" applyBorder="1" applyAlignment="1" applyProtection="1">
      <alignment vertical="center"/>
      <protection hidden="1"/>
    </xf>
    <xf numFmtId="0" fontId="9" fillId="0" borderId="5" xfId="0" applyFont="1" applyBorder="1" applyAlignment="1" applyProtection="1">
      <alignment vertical="center"/>
      <protection hidden="1"/>
    </xf>
    <xf numFmtId="0" fontId="10" fillId="0" borderId="0" xfId="0" applyFont="1" applyProtection="1">
      <protection hidden="1"/>
    </xf>
    <xf numFmtId="0" fontId="9" fillId="0" borderId="0" xfId="0" applyFont="1" applyProtection="1">
      <protection hidden="1"/>
    </xf>
    <xf numFmtId="0" fontId="9" fillId="0" borderId="3" xfId="0" quotePrefix="1" applyFont="1" applyBorder="1" applyAlignment="1" applyProtection="1">
      <alignment horizontal="centerContinuous" vertical="center"/>
      <protection hidden="1"/>
    </xf>
    <xf numFmtId="0" fontId="3" fillId="0" borderId="0" xfId="0" applyFont="1" applyProtection="1">
      <protection hidden="1"/>
    </xf>
    <xf numFmtId="0" fontId="7" fillId="2" borderId="3" xfId="0" applyFont="1" applyFill="1" applyBorder="1" applyAlignment="1" applyProtection="1">
      <alignment horizontal="centerContinuous" vertical="center"/>
      <protection hidden="1"/>
    </xf>
    <xf numFmtId="0" fontId="3" fillId="4" borderId="0" xfId="0" applyFont="1" applyFill="1" applyProtection="1">
      <protection hidden="1"/>
    </xf>
    <xf numFmtId="0" fontId="5" fillId="4" borderId="0" xfId="3" applyFont="1" applyFill="1" applyBorder="1" applyProtection="1">
      <protection hidden="1"/>
    </xf>
    <xf numFmtId="0" fontId="6" fillId="4" borderId="0" xfId="0" applyFont="1" applyFill="1" applyAlignment="1" applyProtection="1">
      <alignment vertical="center"/>
      <protection hidden="1"/>
    </xf>
    <xf numFmtId="43" fontId="5" fillId="4" borderId="0" xfId="3" applyNumberFormat="1" applyFont="1" applyFill="1" applyBorder="1" applyProtection="1">
      <protection hidden="1"/>
    </xf>
    <xf numFmtId="0" fontId="3" fillId="4" borderId="0" xfId="0" applyFont="1" applyFill="1" applyAlignment="1" applyProtection="1">
      <alignment vertical="center"/>
      <protection hidden="1"/>
    </xf>
    <xf numFmtId="43" fontId="3" fillId="4" borderId="0" xfId="1" applyFont="1" applyFill="1" applyBorder="1" applyProtection="1">
      <protection hidden="1"/>
    </xf>
    <xf numFmtId="0" fontId="3" fillId="4" borderId="0" xfId="0" applyFont="1" applyFill="1" applyAlignment="1" applyProtection="1">
      <alignment horizontal="center"/>
      <protection hidden="1"/>
    </xf>
    <xf numFmtId="0" fontId="5" fillId="4" borderId="0" xfId="0" applyFont="1" applyFill="1" applyProtection="1">
      <protection hidden="1"/>
    </xf>
    <xf numFmtId="0" fontId="5" fillId="4" borderId="0" xfId="3" applyFont="1" applyFill="1" applyBorder="1" applyAlignment="1" applyProtection="1">
      <alignment horizontal="center"/>
      <protection hidden="1"/>
    </xf>
    <xf numFmtId="0" fontId="5" fillId="4" borderId="0" xfId="3" quotePrefix="1" applyFont="1" applyFill="1" applyBorder="1" applyAlignment="1" applyProtection="1">
      <alignment horizontal="center"/>
      <protection hidden="1"/>
    </xf>
    <xf numFmtId="10" fontId="5" fillId="4" borderId="0" xfId="3" applyNumberFormat="1" applyFont="1" applyFill="1" applyBorder="1" applyAlignment="1" applyProtection="1">
      <alignment horizontal="center"/>
      <protection hidden="1"/>
    </xf>
    <xf numFmtId="164" fontId="5" fillId="4" borderId="0" xfId="3" applyNumberFormat="1" applyFont="1" applyFill="1" applyBorder="1" applyProtection="1">
      <protection hidden="1"/>
    </xf>
    <xf numFmtId="9" fontId="5" fillId="4" borderId="0" xfId="3" quotePrefix="1" applyNumberFormat="1" applyFont="1" applyFill="1" applyBorder="1" applyAlignment="1" applyProtection="1">
      <alignment horizontal="center"/>
      <protection hidden="1"/>
    </xf>
    <xf numFmtId="165" fontId="5" fillId="4" borderId="0" xfId="2" applyNumberFormat="1" applyFont="1" applyFill="1" applyBorder="1" applyProtection="1">
      <protection hidden="1"/>
    </xf>
    <xf numFmtId="166" fontId="5" fillId="4" borderId="0" xfId="3" applyNumberFormat="1" applyFont="1" applyFill="1" applyBorder="1" applyProtection="1">
      <protection hidden="1"/>
    </xf>
    <xf numFmtId="0" fontId="3" fillId="4" borderId="0" xfId="0" quotePrefix="1" applyFont="1" applyFill="1" applyAlignment="1" applyProtection="1">
      <alignment horizontal="center"/>
      <protection hidden="1"/>
    </xf>
    <xf numFmtId="10" fontId="3" fillId="4" borderId="0" xfId="2" applyNumberFormat="1" applyFont="1" applyFill="1" applyBorder="1" applyAlignment="1" applyProtection="1">
      <alignment horizontal="center"/>
      <protection hidden="1"/>
    </xf>
    <xf numFmtId="164" fontId="5" fillId="4" borderId="0" xfId="1" applyNumberFormat="1" applyFont="1" applyFill="1" applyBorder="1" applyProtection="1">
      <protection hidden="1"/>
    </xf>
    <xf numFmtId="0" fontId="6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13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13" fillId="4" borderId="0" xfId="0" applyFont="1" applyFill="1" applyProtection="1">
      <protection hidden="1"/>
    </xf>
    <xf numFmtId="0" fontId="13" fillId="0" borderId="0" xfId="0" applyFont="1" applyAlignment="1" applyProtection="1">
      <alignment horizontal="centerContinuous"/>
      <protection hidden="1"/>
    </xf>
    <xf numFmtId="0" fontId="15" fillId="0" borderId="5" xfId="0" applyFont="1" applyBorder="1" applyAlignment="1" applyProtection="1">
      <alignment horizontal="centerContinuous" vertical="center"/>
      <protection hidden="1"/>
    </xf>
    <xf numFmtId="0" fontId="15" fillId="4" borderId="0" xfId="0" applyFont="1" applyFill="1" applyAlignment="1" applyProtection="1">
      <alignment vertical="center"/>
      <protection hidden="1"/>
    </xf>
    <xf numFmtId="0" fontId="15" fillId="0" borderId="0" xfId="0" applyFont="1" applyAlignment="1" applyProtection="1">
      <alignment vertical="center"/>
      <protection hidden="1"/>
    </xf>
    <xf numFmtId="0" fontId="13" fillId="4" borderId="0" xfId="0" applyFont="1" applyFill="1" applyAlignment="1" applyProtection="1">
      <alignment vertical="center"/>
      <protection hidden="1"/>
    </xf>
    <xf numFmtId="0" fontId="13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5" fillId="0" borderId="0" xfId="0" applyFont="1" applyProtection="1">
      <protection hidden="1"/>
    </xf>
    <xf numFmtId="0" fontId="16" fillId="2" borderId="5" xfId="0" applyFont="1" applyFill="1" applyBorder="1" applyAlignment="1" applyProtection="1">
      <alignment horizontal="centerContinuous" vertical="center"/>
      <protection locked="0" hidden="1"/>
    </xf>
    <xf numFmtId="43" fontId="9" fillId="0" borderId="3" xfId="1" applyFont="1" applyBorder="1" applyAlignment="1" applyProtection="1">
      <alignment horizontal="centerContinuous" vertical="center" shrinkToFit="1"/>
      <protection hidden="1"/>
    </xf>
    <xf numFmtId="43" fontId="9" fillId="0" borderId="4" xfId="1" applyFont="1" applyBorder="1" applyAlignment="1" applyProtection="1">
      <alignment horizontal="centerContinuous" vertical="center" shrinkToFit="1"/>
      <protection hidden="1"/>
    </xf>
    <xf numFmtId="43" fontId="9" fillId="0" borderId="5" xfId="1" applyFont="1" applyBorder="1" applyAlignment="1" applyProtection="1">
      <alignment horizontal="centerContinuous" vertical="center" shrinkToFit="1"/>
      <protection hidden="1"/>
    </xf>
    <xf numFmtId="0" fontId="9" fillId="0" borderId="3" xfId="0" applyFont="1" applyBorder="1" applyAlignment="1" applyProtection="1">
      <alignment vertical="center" shrinkToFit="1"/>
      <protection hidden="1"/>
    </xf>
    <xf numFmtId="0" fontId="9" fillId="0" borderId="4" xfId="0" applyFont="1" applyBorder="1" applyAlignment="1" applyProtection="1">
      <alignment vertical="center" shrinkToFit="1"/>
      <protection hidden="1"/>
    </xf>
    <xf numFmtId="0" fontId="9" fillId="0" borderId="5" xfId="0" applyFont="1" applyBorder="1" applyAlignment="1" applyProtection="1">
      <alignment vertical="center" shrinkToFit="1"/>
      <protection hidden="1"/>
    </xf>
    <xf numFmtId="43" fontId="9" fillId="0" borderId="3" xfId="1" applyFont="1" applyBorder="1" applyAlignment="1" applyProtection="1">
      <alignment horizontal="center" vertical="center" shrinkToFit="1"/>
      <protection hidden="1"/>
    </xf>
    <xf numFmtId="43" fontId="9" fillId="0" borderId="4" xfId="1" applyFont="1" applyBorder="1" applyAlignment="1" applyProtection="1">
      <alignment horizontal="center" vertical="center" shrinkToFit="1"/>
      <protection hidden="1"/>
    </xf>
    <xf numFmtId="43" fontId="9" fillId="0" borderId="5" xfId="1" applyFont="1" applyBorder="1" applyAlignment="1" applyProtection="1">
      <alignment horizontal="center" vertical="center" shrinkToFit="1"/>
      <protection hidden="1"/>
    </xf>
    <xf numFmtId="0" fontId="2" fillId="0" borderId="0" xfId="0" applyFont="1" applyAlignment="1" applyProtection="1">
      <alignment horizontal="center" vertical="center" textRotation="90"/>
      <protection hidden="1"/>
    </xf>
    <xf numFmtId="14" fontId="12" fillId="3" borderId="3" xfId="0" applyNumberFormat="1" applyFont="1" applyFill="1" applyBorder="1" applyAlignment="1" applyProtection="1">
      <alignment horizontal="center" vertical="center"/>
      <protection locked="0" hidden="1"/>
    </xf>
    <xf numFmtId="14" fontId="12" fillId="3" borderId="4" xfId="0" applyNumberFormat="1" applyFont="1" applyFill="1" applyBorder="1" applyAlignment="1" applyProtection="1">
      <alignment horizontal="center" vertical="center"/>
      <protection locked="0" hidden="1"/>
    </xf>
    <xf numFmtId="14" fontId="12" fillId="3" borderId="5" xfId="0" applyNumberFormat="1" applyFont="1" applyFill="1" applyBorder="1" applyAlignment="1" applyProtection="1">
      <alignment horizontal="center" vertical="center"/>
      <protection locked="0" hidden="1"/>
    </xf>
    <xf numFmtId="43" fontId="12" fillId="3" borderId="3" xfId="1" applyFont="1" applyFill="1" applyBorder="1" applyAlignment="1" applyProtection="1">
      <alignment horizontal="center" vertical="center" shrinkToFit="1"/>
      <protection locked="0" hidden="1"/>
    </xf>
    <xf numFmtId="43" fontId="12" fillId="3" borderId="4" xfId="1" applyFont="1" applyFill="1" applyBorder="1" applyAlignment="1" applyProtection="1">
      <alignment horizontal="center" vertical="center" shrinkToFit="1"/>
      <protection locked="0" hidden="1"/>
    </xf>
    <xf numFmtId="43" fontId="12" fillId="3" borderId="5" xfId="1" applyFont="1" applyFill="1" applyBorder="1" applyAlignment="1" applyProtection="1">
      <alignment horizontal="center" vertical="center" shrinkToFit="1"/>
      <protection locked="0" hidden="1"/>
    </xf>
    <xf numFmtId="167" fontId="12" fillId="3" borderId="3" xfId="1" applyNumberFormat="1" applyFont="1" applyFill="1" applyBorder="1" applyAlignment="1" applyProtection="1">
      <alignment horizontal="center" vertical="center" shrinkToFit="1"/>
      <protection locked="0" hidden="1"/>
    </xf>
    <xf numFmtId="167" fontId="12" fillId="3" borderId="4" xfId="1" applyNumberFormat="1" applyFont="1" applyFill="1" applyBorder="1" applyAlignment="1" applyProtection="1">
      <alignment horizontal="center" vertical="center" shrinkToFit="1"/>
      <protection locked="0" hidden="1"/>
    </xf>
    <xf numFmtId="167" fontId="12" fillId="3" borderId="5" xfId="1" applyNumberFormat="1" applyFont="1" applyFill="1" applyBorder="1" applyAlignment="1" applyProtection="1">
      <alignment horizontal="center" vertical="center" shrinkToFit="1"/>
      <protection locked="0" hidden="1"/>
    </xf>
    <xf numFmtId="0" fontId="4" fillId="2" borderId="3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center" vertical="center"/>
      <protection hidden="1"/>
    </xf>
    <xf numFmtId="0" fontId="4" fillId="2" borderId="5" xfId="0" applyFont="1" applyFill="1" applyBorder="1" applyAlignment="1" applyProtection="1">
      <alignment horizontal="center" vertical="center"/>
      <protection hidden="1"/>
    </xf>
    <xf numFmtId="14" fontId="9" fillId="0" borderId="3" xfId="0" applyNumberFormat="1" applyFont="1" applyBorder="1" applyAlignment="1" applyProtection="1">
      <alignment horizontal="center" vertical="center"/>
      <protection hidden="1"/>
    </xf>
    <xf numFmtId="14" fontId="9" fillId="0" borderId="4" xfId="0" applyNumberFormat="1" applyFont="1" applyBorder="1" applyAlignment="1" applyProtection="1">
      <alignment horizontal="center" vertical="center"/>
      <protection hidden="1"/>
    </xf>
    <xf numFmtId="14" fontId="9" fillId="0" borderId="5" xfId="0" applyNumberFormat="1" applyFont="1" applyBorder="1" applyAlignment="1" applyProtection="1">
      <alignment horizontal="center" vertical="center"/>
      <protection hidden="1"/>
    </xf>
    <xf numFmtId="0" fontId="12" fillId="3" borderId="3" xfId="0" applyFont="1" applyFill="1" applyBorder="1" applyAlignment="1" applyProtection="1">
      <alignment horizontal="center" vertical="center"/>
      <protection locked="0" hidden="1"/>
    </xf>
    <xf numFmtId="0" fontId="12" fillId="3" borderId="4" xfId="0" applyFont="1" applyFill="1" applyBorder="1" applyAlignment="1" applyProtection="1">
      <alignment horizontal="center" vertical="center"/>
      <protection locked="0" hidden="1"/>
    </xf>
    <xf numFmtId="0" fontId="12" fillId="3" borderId="5" xfId="0" applyFont="1" applyFill="1" applyBorder="1" applyAlignment="1" applyProtection="1">
      <alignment horizontal="center" vertical="center"/>
      <protection locked="0" hidden="1"/>
    </xf>
    <xf numFmtId="43" fontId="9" fillId="0" borderId="3" xfId="1" applyFont="1" applyBorder="1" applyAlignment="1" applyProtection="1">
      <alignment horizontal="center" vertical="center"/>
      <protection hidden="1"/>
    </xf>
    <xf numFmtId="43" fontId="9" fillId="0" borderId="4" xfId="1" applyFont="1" applyBorder="1" applyAlignment="1" applyProtection="1">
      <alignment horizontal="center" vertical="center"/>
      <protection hidden="1"/>
    </xf>
    <xf numFmtId="43" fontId="9" fillId="0" borderId="5" xfId="1" applyFont="1" applyBorder="1" applyAlignment="1" applyProtection="1">
      <alignment horizontal="center" vertical="center"/>
      <protection hidden="1"/>
    </xf>
    <xf numFmtId="10" fontId="5" fillId="0" borderId="2" xfId="2" applyNumberFormat="1" applyFont="1" applyBorder="1" applyAlignment="1" applyProtection="1">
      <alignment horizontal="center"/>
      <protection hidden="1"/>
    </xf>
    <xf numFmtId="0" fontId="7" fillId="2" borderId="3" xfId="0" applyFont="1" applyFill="1" applyBorder="1" applyAlignment="1" applyProtection="1">
      <alignment horizontal="center" vertical="center"/>
      <protection hidden="1"/>
    </xf>
    <xf numFmtId="0" fontId="7" fillId="2" borderId="4" xfId="0" applyFont="1" applyFill="1" applyBorder="1" applyAlignment="1" applyProtection="1">
      <alignment horizontal="center" vertical="center"/>
      <protection hidden="1"/>
    </xf>
    <xf numFmtId="0" fontId="7" fillId="2" borderId="5" xfId="0" applyFont="1" applyFill="1" applyBorder="1" applyAlignment="1" applyProtection="1">
      <alignment horizontal="center" vertical="center"/>
      <protection hidden="1"/>
    </xf>
    <xf numFmtId="14" fontId="0" fillId="0" borderId="6" xfId="0" applyNumberFormat="1" applyBorder="1" applyAlignment="1" applyProtection="1">
      <alignment horizontal="center"/>
      <protection hidden="1"/>
    </xf>
    <xf numFmtId="0" fontId="4" fillId="0" borderId="3" xfId="0" applyFont="1" applyBorder="1" applyAlignment="1" applyProtection="1">
      <alignment horizontal="center" vertical="center"/>
      <protection hidden="1"/>
    </xf>
    <xf numFmtId="0" fontId="4" fillId="0" borderId="4" xfId="0" applyFont="1" applyBorder="1" applyAlignment="1" applyProtection="1">
      <alignment horizontal="center" vertical="center"/>
      <protection hidden="1"/>
    </xf>
    <xf numFmtId="0" fontId="4" fillId="0" borderId="5" xfId="0" applyFont="1" applyBorder="1" applyAlignment="1" applyProtection="1">
      <alignment horizontal="center" vertical="center"/>
      <protection hidden="1"/>
    </xf>
    <xf numFmtId="0" fontId="12" fillId="3" borderId="3" xfId="0" applyFont="1" applyFill="1" applyBorder="1" applyAlignment="1" applyProtection="1">
      <alignment horizontal="center" vertical="center" shrinkToFit="1"/>
      <protection locked="0" hidden="1"/>
    </xf>
    <xf numFmtId="0" fontId="12" fillId="3" borderId="4" xfId="0" applyFont="1" applyFill="1" applyBorder="1" applyAlignment="1" applyProtection="1">
      <alignment horizontal="center" vertical="center" shrinkToFit="1"/>
      <protection locked="0" hidden="1"/>
    </xf>
    <xf numFmtId="0" fontId="12" fillId="3" borderId="5" xfId="0" applyFont="1" applyFill="1" applyBorder="1" applyAlignment="1" applyProtection="1">
      <alignment horizontal="center" vertical="center" shrinkToFit="1"/>
      <protection locked="0" hidden="1"/>
    </xf>
    <xf numFmtId="10" fontId="14" fillId="0" borderId="0" xfId="2" applyNumberFormat="1" applyFont="1" applyBorder="1" applyAlignment="1" applyProtection="1">
      <alignment horizontal="center"/>
      <protection hidden="1"/>
    </xf>
    <xf numFmtId="0" fontId="17" fillId="4" borderId="0" xfId="0" applyFont="1" applyFill="1" applyProtection="1">
      <protection hidden="1"/>
    </xf>
    <xf numFmtId="0" fontId="15" fillId="4" borderId="0" xfId="0" applyFont="1" applyFill="1" applyAlignment="1" applyProtection="1">
      <alignment horizontal="center" vertical="center"/>
      <protection hidden="1"/>
    </xf>
    <xf numFmtId="0" fontId="17" fillId="4" borderId="0" xfId="0" applyFont="1" applyFill="1" applyAlignment="1" applyProtection="1">
      <alignment vertical="center"/>
      <protection hidden="1"/>
    </xf>
    <xf numFmtId="10" fontId="13" fillId="4" borderId="0" xfId="2" applyNumberFormat="1" applyFont="1" applyFill="1" applyBorder="1" applyAlignment="1" applyProtection="1">
      <alignment vertical="center"/>
      <protection hidden="1"/>
    </xf>
    <xf numFmtId="14" fontId="13" fillId="4" borderId="0" xfId="0" applyNumberFormat="1" applyFont="1" applyFill="1" applyAlignment="1" applyProtection="1">
      <alignment vertical="center"/>
      <protection hidden="1"/>
    </xf>
    <xf numFmtId="14" fontId="13" fillId="4" borderId="0" xfId="0" applyNumberFormat="1" applyFont="1" applyFill="1" applyProtection="1">
      <protection hidden="1"/>
    </xf>
    <xf numFmtId="43" fontId="13" fillId="4" borderId="0" xfId="0" applyNumberFormat="1" applyFont="1" applyFill="1" applyProtection="1">
      <protection hidden="1"/>
    </xf>
    <xf numFmtId="10" fontId="17" fillId="4" borderId="0" xfId="2" applyNumberFormat="1" applyFont="1" applyFill="1" applyBorder="1" applyProtection="1">
      <protection hidden="1"/>
    </xf>
  </cellXfs>
  <cellStyles count="4">
    <cellStyle name="Normal" xfId="0" builtinId="0"/>
    <cellStyle name="Porcentagem" xfId="2" builtinId="5"/>
    <cellStyle name="Total" xfId="3" builtinId="2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101768</xdr:colOff>
      <xdr:row>0</xdr:row>
      <xdr:rowOff>95500</xdr:rowOff>
    </xdr:from>
    <xdr:ext cx="1057655" cy="561975"/>
    <xdr:pic>
      <xdr:nvPicPr>
        <xdr:cNvPr id="2" name="image1.png">
          <a:extLst>
            <a:ext uri="{FF2B5EF4-FFF2-40B4-BE49-F238E27FC236}">
              <a16:creationId xmlns:a16="http://schemas.microsoft.com/office/drawing/2014/main" id="{B49230FF-D833-436A-9B76-A29014B97C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768" y="95500"/>
          <a:ext cx="1057655" cy="5619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101768</xdr:colOff>
      <xdr:row>0</xdr:row>
      <xdr:rowOff>95500</xdr:rowOff>
    </xdr:from>
    <xdr:ext cx="1057655" cy="561975"/>
    <xdr:pic>
      <xdr:nvPicPr>
        <xdr:cNvPr id="2" name="image1.png">
          <a:extLst>
            <a:ext uri="{FF2B5EF4-FFF2-40B4-BE49-F238E27FC236}">
              <a16:creationId xmlns:a16="http://schemas.microsoft.com/office/drawing/2014/main" id="{3A9973C5-A97C-4F18-952C-B23B7A705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768" y="95500"/>
          <a:ext cx="1057655" cy="5619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D8762-6113-4680-ACA3-A745DD90C4C9}">
  <sheetPr>
    <pageSetUpPr fitToPage="1"/>
  </sheetPr>
  <dimension ref="B2:DU42"/>
  <sheetViews>
    <sheetView showGridLines="0" tabSelected="1" zoomScale="120" zoomScaleNormal="120" workbookViewId="0">
      <selection activeCell="AT6" sqref="AT6"/>
    </sheetView>
  </sheetViews>
  <sheetFormatPr defaultRowHeight="15" x14ac:dyDescent="0.25"/>
  <cols>
    <col min="1" max="29" width="2.7109375" style="1" customWidth="1"/>
    <col min="30" max="30" width="3.7109375" style="1" customWidth="1"/>
    <col min="31" max="38" width="2.7109375" style="1" customWidth="1"/>
    <col min="39" max="39" width="2.7109375" style="53" customWidth="1"/>
    <col min="40" max="95" width="3.140625" style="55" customWidth="1"/>
    <col min="96" max="96" width="2.7109375" style="109" customWidth="1"/>
    <col min="97" max="97" width="6.5703125" style="109" customWidth="1"/>
    <col min="98" max="98" width="13.5703125" style="55" customWidth="1"/>
    <col min="99" max="103" width="2.7109375" style="55" customWidth="1"/>
    <col min="104" max="104" width="29.7109375" style="55" customWidth="1"/>
    <col min="105" max="105" width="2.7109375" style="33" hidden="1" customWidth="1"/>
    <col min="106" max="106" width="9.140625" style="33" hidden="1" customWidth="1"/>
    <col min="107" max="108" width="9.140625" style="39" hidden="1" customWidth="1"/>
    <col min="109" max="110" width="9.140625" style="33" hidden="1" customWidth="1"/>
    <col min="111" max="111" width="16.85546875" style="33" hidden="1" customWidth="1"/>
    <col min="112" max="113" width="9.140625" style="33" hidden="1" customWidth="1"/>
    <col min="114" max="115" width="9.140625" style="55" customWidth="1"/>
    <col min="116" max="118" width="9.140625" style="53" customWidth="1"/>
    <col min="119" max="121" width="9.140625" style="31" customWidth="1"/>
    <col min="122" max="122" width="9.140625" style="53" customWidth="1"/>
    <col min="123" max="125" width="9.140625" style="53"/>
    <col min="126" max="16384" width="9.140625" style="1"/>
  </cols>
  <sheetData>
    <row r="2" spans="2:125" x14ac:dyDescent="0.25">
      <c r="L2" s="15" t="s">
        <v>16</v>
      </c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</row>
    <row r="3" spans="2:125" ht="15.75" x14ac:dyDescent="0.25">
      <c r="I3" s="17" t="s">
        <v>26</v>
      </c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DB3" s="40">
        <v>2025</v>
      </c>
    </row>
    <row r="4" spans="2:125" x14ac:dyDescent="0.25">
      <c r="DB4" s="34" t="s">
        <v>2</v>
      </c>
      <c r="DC4" s="41" t="s">
        <v>6</v>
      </c>
      <c r="DD4" s="41" t="s">
        <v>3</v>
      </c>
      <c r="DE4" s="34" t="s">
        <v>7</v>
      </c>
      <c r="DF4" s="34"/>
      <c r="DG4" s="34" t="s">
        <v>1</v>
      </c>
    </row>
    <row r="5" spans="2:125" s="5" customFormat="1" ht="24.95" customHeight="1" x14ac:dyDescent="0.25">
      <c r="D5" s="6" t="s">
        <v>23</v>
      </c>
      <c r="E5" s="7"/>
      <c r="F5" s="7"/>
      <c r="G5" s="7"/>
      <c r="H5" s="7"/>
      <c r="I5" s="7"/>
      <c r="J5" s="7"/>
      <c r="K5" s="7"/>
      <c r="L5" s="7"/>
      <c r="M5" s="8"/>
      <c r="N5" s="6" t="s">
        <v>0</v>
      </c>
      <c r="O5" s="7"/>
      <c r="P5" s="7"/>
      <c r="Q5" s="7"/>
      <c r="R5" s="7"/>
      <c r="S5" s="7"/>
      <c r="T5" s="7"/>
      <c r="U5" s="7"/>
      <c r="V5" s="7"/>
      <c r="W5" s="8"/>
      <c r="X5" s="6" t="s">
        <v>27</v>
      </c>
      <c r="Y5" s="7"/>
      <c r="Z5" s="7"/>
      <c r="AA5" s="8"/>
      <c r="AB5" s="6" t="s">
        <v>28</v>
      </c>
      <c r="AC5" s="7"/>
      <c r="AD5" s="7"/>
      <c r="AE5" s="8"/>
      <c r="AF5" s="6" t="s">
        <v>11</v>
      </c>
      <c r="AG5" s="7"/>
      <c r="AH5" s="7"/>
      <c r="AI5" s="7"/>
      <c r="AJ5" s="7"/>
      <c r="AK5" s="7"/>
      <c r="AL5" s="7"/>
      <c r="AM5" s="57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/>
      <c r="BO5" s="58"/>
      <c r="BP5" s="58"/>
      <c r="BQ5" s="58"/>
      <c r="BR5" s="58"/>
      <c r="BS5" s="58"/>
      <c r="BT5" s="58"/>
      <c r="BU5" s="58"/>
      <c r="BV5" s="58"/>
      <c r="BW5" s="58"/>
      <c r="BX5" s="58"/>
      <c r="BY5" s="58"/>
      <c r="BZ5" s="58"/>
      <c r="CA5" s="58"/>
      <c r="CB5" s="58"/>
      <c r="CC5" s="58"/>
      <c r="CD5" s="58"/>
      <c r="CE5" s="58"/>
      <c r="CF5" s="58"/>
      <c r="CG5" s="58"/>
      <c r="CH5" s="58"/>
      <c r="CI5" s="58"/>
      <c r="CJ5" s="58"/>
      <c r="CK5" s="58"/>
      <c r="CL5" s="58"/>
      <c r="CM5" s="58"/>
      <c r="CN5" s="58"/>
      <c r="CO5" s="58"/>
      <c r="CP5" s="58"/>
      <c r="CQ5" s="58"/>
      <c r="CR5" s="58"/>
      <c r="CS5" s="110" t="s">
        <v>10</v>
      </c>
      <c r="CT5" s="58"/>
      <c r="CU5" s="58"/>
      <c r="CV5" s="58"/>
      <c r="CW5" s="58"/>
      <c r="CX5" s="58"/>
      <c r="CY5" s="58"/>
      <c r="CZ5" s="58"/>
      <c r="DA5" s="35"/>
      <c r="DB5" s="34">
        <v>1</v>
      </c>
      <c r="DC5" s="42" t="s">
        <v>4</v>
      </c>
      <c r="DD5" s="43">
        <v>7.4999999999999997E-3</v>
      </c>
      <c r="DE5" s="34"/>
      <c r="DF5" s="34"/>
      <c r="DG5" s="36">
        <v>10322.450000000001</v>
      </c>
      <c r="DH5" s="35"/>
      <c r="DI5" s="35"/>
      <c r="DJ5" s="58"/>
      <c r="DK5" s="58"/>
      <c r="DL5" s="59"/>
      <c r="DM5" s="59"/>
      <c r="DN5" s="59"/>
      <c r="DO5" s="51"/>
      <c r="DP5" s="51"/>
      <c r="DQ5" s="51"/>
      <c r="DR5" s="59"/>
      <c r="DS5" s="59"/>
      <c r="DT5" s="59"/>
      <c r="DU5" s="59"/>
    </row>
    <row r="6" spans="2:125" s="3" customFormat="1" ht="24.95" customHeight="1" x14ac:dyDescent="0.25">
      <c r="D6" s="76">
        <f ca="1">TODAY()</f>
        <v>46076</v>
      </c>
      <c r="E6" s="77"/>
      <c r="F6" s="77"/>
      <c r="G6" s="77"/>
      <c r="H6" s="77"/>
      <c r="I6" s="77"/>
      <c r="J6" s="77"/>
      <c r="K6" s="77"/>
      <c r="L6" s="77"/>
      <c r="M6" s="78"/>
      <c r="N6" s="79"/>
      <c r="O6" s="80"/>
      <c r="P6" s="80"/>
      <c r="Q6" s="80"/>
      <c r="R6" s="80"/>
      <c r="S6" s="80"/>
      <c r="T6" s="80"/>
      <c r="U6" s="80"/>
      <c r="V6" s="80"/>
      <c r="W6" s="81"/>
      <c r="X6" s="82"/>
      <c r="Y6" s="83"/>
      <c r="Z6" s="83"/>
      <c r="AA6" s="84"/>
      <c r="AB6" s="82"/>
      <c r="AC6" s="83"/>
      <c r="AD6" s="83"/>
      <c r="AE6" s="84"/>
      <c r="AF6" s="91" t="s">
        <v>10</v>
      </c>
      <c r="AG6" s="92"/>
      <c r="AH6" s="92"/>
      <c r="AI6" s="92"/>
      <c r="AJ6" s="92"/>
      <c r="AK6" s="92"/>
      <c r="AL6" s="92"/>
      <c r="AM6" s="93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0"/>
      <c r="CN6" s="60"/>
      <c r="CO6" s="60"/>
      <c r="CP6" s="60"/>
      <c r="CQ6" s="60"/>
      <c r="CR6" s="111"/>
      <c r="CS6" s="111">
        <v>6</v>
      </c>
      <c r="CT6" s="112"/>
      <c r="CU6" s="60"/>
      <c r="CV6" s="60"/>
      <c r="CW6" s="60"/>
      <c r="CX6" s="60"/>
      <c r="CY6" s="60"/>
      <c r="CZ6" s="113"/>
      <c r="DA6" s="37"/>
      <c r="DB6" s="34">
        <v>2</v>
      </c>
      <c r="DC6" s="42" t="s">
        <v>4</v>
      </c>
      <c r="DD6" s="43">
        <v>1.4999999999999999E-2</v>
      </c>
      <c r="DE6" s="34"/>
      <c r="DF6" s="34"/>
      <c r="DG6" s="36">
        <f t="shared" ref="DG6:DG14" si="0">DG5</f>
        <v>10322.450000000001</v>
      </c>
      <c r="DH6" s="37"/>
      <c r="DI6" s="37"/>
      <c r="DJ6" s="60"/>
      <c r="DK6" s="60"/>
      <c r="DL6" s="61"/>
      <c r="DM6" s="61"/>
      <c r="DN6" s="61"/>
      <c r="DO6" s="52"/>
      <c r="DP6" s="52"/>
      <c r="DQ6" s="52"/>
      <c r="DR6" s="61"/>
      <c r="DS6" s="61"/>
      <c r="DT6" s="61"/>
      <c r="DU6" s="61"/>
    </row>
    <row r="7" spans="2:125" s="31" customFormat="1" x14ac:dyDescent="0.25">
      <c r="N7" s="31">
        <f>IF(AB6=0,0,N6/AB6)</f>
        <v>0</v>
      </c>
      <c r="AE7" s="64"/>
      <c r="AF7" s="97" cm="1">
        <f t="array" ref="AF7">IF($G$10="TAB01",_xlfn.XLOOKUP(AF6,DB$24:DB$26,DF$24:DF$26,0),IF($N$7&lt;=$DG$28,_xlfn.XLOOKUP(AF6,DB$28:DB$30,DF$28:DF$30,0),IF($N$7&lt;=$DG$32,_xlfn.XLOOKUP(AF6,$DB$32:$DB$34,DF$32:DF34,0),_xlfn.XLOOKUP(AF6,DB36:DB38,DF36:DF38,0))))-IF(AF6&lt;&gt;"-",IF(AF6&lt;&gt;"",CS11,0),0)*IF(N6&lt;=0,0,1)</f>
        <v>0</v>
      </c>
      <c r="AG7" s="97"/>
      <c r="AH7" s="97"/>
      <c r="AI7" s="97"/>
      <c r="AJ7" s="97"/>
      <c r="AK7" s="97"/>
      <c r="AL7" s="97"/>
      <c r="AM7" s="97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  <c r="CM7" s="55"/>
      <c r="CN7" s="55"/>
      <c r="CO7" s="55"/>
      <c r="CP7" s="55"/>
      <c r="CQ7" s="55"/>
      <c r="CR7" s="109"/>
      <c r="CS7" s="109">
        <v>12</v>
      </c>
      <c r="CT7" s="55"/>
      <c r="CU7" s="55"/>
      <c r="CV7" s="55"/>
      <c r="CW7" s="55"/>
      <c r="CX7" s="55"/>
      <c r="CY7" s="55"/>
      <c r="CZ7" s="114"/>
      <c r="DA7" s="33"/>
      <c r="DB7" s="34">
        <v>3</v>
      </c>
      <c r="DC7" s="42" t="s">
        <v>4</v>
      </c>
      <c r="DD7" s="43">
        <v>2.2499999999999999E-2</v>
      </c>
      <c r="DE7" s="34"/>
      <c r="DF7" s="34"/>
      <c r="DG7" s="36">
        <f t="shared" si="0"/>
        <v>10322.450000000001</v>
      </c>
      <c r="DH7" s="33"/>
      <c r="DI7" s="33"/>
      <c r="DJ7" s="55"/>
      <c r="DK7" s="55"/>
      <c r="DL7" s="53"/>
      <c r="DM7" s="53"/>
      <c r="DN7" s="53"/>
    </row>
    <row r="8" spans="2:125" x14ac:dyDescent="0.25">
      <c r="B8" s="2" t="s">
        <v>17</v>
      </c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F8" s="19"/>
      <c r="AG8" s="19"/>
      <c r="AH8" s="19"/>
      <c r="AI8" s="19"/>
      <c r="AJ8" s="19"/>
      <c r="AK8" s="19"/>
      <c r="AL8" s="19"/>
      <c r="CS8" s="109">
        <v>24</v>
      </c>
      <c r="CT8" s="115" t="str">
        <f>AF6</f>
        <v>-</v>
      </c>
      <c r="DB8" s="34">
        <v>4</v>
      </c>
      <c r="DC8" s="42" t="s">
        <v>4</v>
      </c>
      <c r="DD8" s="43">
        <f t="shared" ref="DD8:DD14" si="1">DD7+$DD$7</f>
        <v>4.4999999999999998E-2</v>
      </c>
      <c r="DE8" s="34"/>
      <c r="DF8" s="34"/>
      <c r="DG8" s="36">
        <f t="shared" si="0"/>
        <v>10322.450000000001</v>
      </c>
    </row>
    <row r="9" spans="2:125" x14ac:dyDescent="0.25">
      <c r="D9" s="1" t="s">
        <v>35</v>
      </c>
      <c r="AD9" s="29"/>
      <c r="AE9" s="28"/>
      <c r="CS9" s="109" t="s">
        <v>14</v>
      </c>
      <c r="DB9" s="34">
        <v>5</v>
      </c>
      <c r="DC9" s="42" t="s">
        <v>4</v>
      </c>
      <c r="DD9" s="43">
        <f t="shared" si="1"/>
        <v>6.7500000000000004E-2</v>
      </c>
      <c r="DE9" s="34"/>
      <c r="DF9" s="34"/>
      <c r="DG9" s="36">
        <f t="shared" si="0"/>
        <v>10322.450000000001</v>
      </c>
    </row>
    <row r="10" spans="2:125" s="5" customFormat="1" ht="20.100000000000001" customHeight="1" x14ac:dyDescent="0.25">
      <c r="B10" s="4"/>
      <c r="D10" s="11" t="s">
        <v>18</v>
      </c>
      <c r="E10" s="9"/>
      <c r="F10" s="10"/>
      <c r="G10" s="11" t="str">
        <f>IF($N$7&gt;IMPORTACAO!$DG$5,"TAB05","TAB01")</f>
        <v>TAB01</v>
      </c>
      <c r="H10" s="9"/>
      <c r="I10" s="9"/>
      <c r="J10" s="10"/>
      <c r="K10" s="11" t="str">
        <f>IF($N$7&gt;IMPORTACAO!$DG$5,"-","TAB02")</f>
        <v>TAB02</v>
      </c>
      <c r="L10" s="9"/>
      <c r="M10" s="9"/>
      <c r="N10" s="10"/>
      <c r="O10" s="32" t="str">
        <f>IF($AF$6&gt;0,"TAB EXPRESSA","-")</f>
        <v>TAB EXPRESSA</v>
      </c>
      <c r="P10" s="9"/>
      <c r="Q10" s="9"/>
      <c r="R10" s="10"/>
      <c r="S10" s="85" t="s">
        <v>10</v>
      </c>
      <c r="T10" s="86"/>
      <c r="U10" s="86"/>
      <c r="V10" s="87"/>
      <c r="W10" s="12" t="s">
        <v>19</v>
      </c>
      <c r="X10" s="13"/>
      <c r="Y10" s="13"/>
      <c r="Z10" s="14"/>
      <c r="AA10" s="32" t="s">
        <v>20</v>
      </c>
      <c r="AB10" s="9"/>
      <c r="AC10" s="9"/>
      <c r="AD10" s="65" t="s">
        <v>14</v>
      </c>
      <c r="AE10" s="12" t="s">
        <v>21</v>
      </c>
      <c r="AF10" s="13"/>
      <c r="AG10" s="13"/>
      <c r="AH10" s="14"/>
      <c r="AI10" s="98" t="s">
        <v>22</v>
      </c>
      <c r="AJ10" s="99"/>
      <c r="AK10" s="99"/>
      <c r="AL10" s="99"/>
      <c r="AM10" s="100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8"/>
      <c r="CA10" s="58"/>
      <c r="CB10" s="58"/>
      <c r="CC10" s="58"/>
      <c r="CD10" s="58"/>
      <c r="CE10" s="58"/>
      <c r="CF10" s="58"/>
      <c r="CG10" s="58"/>
      <c r="CH10" s="58"/>
      <c r="CI10" s="58"/>
      <c r="CJ10" s="58"/>
      <c r="CK10" s="58"/>
      <c r="CL10" s="58"/>
      <c r="CM10" s="58"/>
      <c r="CN10" s="58"/>
      <c r="CO10" s="58"/>
      <c r="CP10" s="58"/>
      <c r="CQ10" s="58"/>
      <c r="CR10" s="58"/>
      <c r="CS10" s="58" t="s">
        <v>15</v>
      </c>
      <c r="CT10" s="58"/>
      <c r="CU10" s="58"/>
      <c r="CV10" s="58"/>
      <c r="CW10" s="58"/>
      <c r="CX10" s="58"/>
      <c r="CY10" s="58"/>
      <c r="CZ10" s="58"/>
      <c r="DA10" s="35"/>
      <c r="DB10" s="34">
        <v>6</v>
      </c>
      <c r="DC10" s="42" t="s">
        <v>4</v>
      </c>
      <c r="DD10" s="43">
        <f t="shared" si="1"/>
        <v>0.09</v>
      </c>
      <c r="DE10" s="34"/>
      <c r="DF10" s="34"/>
      <c r="DG10" s="36">
        <f t="shared" si="0"/>
        <v>10322.450000000001</v>
      </c>
      <c r="DH10" s="35"/>
      <c r="DI10" s="35"/>
      <c r="DJ10" s="58"/>
      <c r="DK10" s="58"/>
      <c r="DL10" s="59"/>
      <c r="DM10" s="59"/>
      <c r="DN10" s="59"/>
      <c r="DO10" s="51"/>
      <c r="DP10" s="51"/>
      <c r="DQ10" s="51"/>
      <c r="DR10" s="59"/>
      <c r="DS10" s="59"/>
      <c r="DT10" s="59"/>
      <c r="DU10" s="59"/>
    </row>
    <row r="11" spans="2:125" x14ac:dyDescent="0.25">
      <c r="B11" s="75" t="s">
        <v>33</v>
      </c>
      <c r="D11" s="30" t="s">
        <v>4</v>
      </c>
      <c r="E11" s="20"/>
      <c r="F11" s="21"/>
      <c r="G11" s="72">
        <f t="shared" ref="G11:G20" si="2">ROUND($N$6*CS11,2)</f>
        <v>0</v>
      </c>
      <c r="H11" s="73"/>
      <c r="I11" s="73"/>
      <c r="J11" s="74"/>
      <c r="K11" s="22">
        <f>ROUND(IF($K$10="TAB02",IF(($X$6*IMPORTACAO!$DD$16)&lt;IMPORTACAO!$DE$16,IMPORTACAO!$DE$16,$X$6*IMPORTACAO!$DD$16),0),2)*IF($X$6&lt;=0,0,1)</f>
        <v>0</v>
      </c>
      <c r="L11" s="23"/>
      <c r="M11" s="23"/>
      <c r="N11" s="24"/>
      <c r="O11" s="94">
        <f>IF(AF6&gt;0,N6*AF7,0)</f>
        <v>0</v>
      </c>
      <c r="P11" s="95"/>
      <c r="Q11" s="95"/>
      <c r="R11" s="96"/>
      <c r="S11" s="25"/>
      <c r="T11" s="26"/>
      <c r="U11" s="26"/>
      <c r="V11" s="27"/>
      <c r="W11" s="66">
        <f>G11+K11+O11</f>
        <v>0</v>
      </c>
      <c r="X11" s="67"/>
      <c r="Y11" s="67"/>
      <c r="Z11" s="68"/>
      <c r="AA11" s="66">
        <f>IF($AD$10="Sim",W11*0.05,0)</f>
        <v>0</v>
      </c>
      <c r="AB11" s="67"/>
      <c r="AC11" s="67"/>
      <c r="AD11" s="68"/>
      <c r="AE11" s="66">
        <f t="shared" ref="AE11:AE20" si="3">W11-AA11</f>
        <v>0</v>
      </c>
      <c r="AF11" s="67"/>
      <c r="AG11" s="67"/>
      <c r="AH11" s="68"/>
      <c r="AI11" s="88">
        <f ca="1">IF($G$10="TAB01",IF($D$6&gt;0,D6+1,""),IF($D$6&gt;0,D6+2,""))</f>
        <v>46077</v>
      </c>
      <c r="AJ11" s="89"/>
      <c r="AK11" s="89"/>
      <c r="AL11" s="89"/>
      <c r="AM11" s="90"/>
      <c r="CR11" s="109">
        <f>VALUE(D11)</f>
        <v>1</v>
      </c>
      <c r="CS11" s="116">
        <f>IF($G$10="TAB01",_xlfn.XLOOKUP(CR11,IMPORTACAO!$DB$5:$DB$14,IMPORTACAO!$DD$5:$DD$14),IF($N$7&lt;=IMPORTACAO!$DG$20,IMPORTACAO!$DD$20,IF($N$7&lt;=IMPORTACAO!$DG$21,IMPORTACAO!$DD$21,IMPORTACAO!$DD$22))*CR11)</f>
        <v>7.4999999999999997E-3</v>
      </c>
      <c r="DB11" s="34">
        <v>7</v>
      </c>
      <c r="DC11" s="42" t="s">
        <v>4</v>
      </c>
      <c r="DD11" s="43">
        <f t="shared" si="1"/>
        <v>0.11249999999999999</v>
      </c>
      <c r="DE11" s="34"/>
      <c r="DF11" s="34"/>
      <c r="DG11" s="36">
        <f t="shared" si="0"/>
        <v>10322.450000000001</v>
      </c>
    </row>
    <row r="12" spans="2:125" ht="15" customHeight="1" x14ac:dyDescent="0.25">
      <c r="B12" s="75"/>
      <c r="D12" s="30" t="s">
        <v>9</v>
      </c>
      <c r="E12" s="20"/>
      <c r="F12" s="21"/>
      <c r="G12" s="72">
        <f t="shared" si="2"/>
        <v>0</v>
      </c>
      <c r="H12" s="73"/>
      <c r="I12" s="73"/>
      <c r="J12" s="74"/>
      <c r="K12" s="22">
        <f>ROUND(IF($K$10="TAB02",IF(($X$6*IMPORTACAO!$DD$16)&lt;IMPORTACAO!$DE$16,IMPORTACAO!$DE$16,$X$6*IMPORTACAO!$DD$16),0),2)*IF($X$6&lt;=0,0,1)</f>
        <v>0</v>
      </c>
      <c r="L12" s="23"/>
      <c r="M12" s="23"/>
      <c r="N12" s="24"/>
      <c r="O12" s="25"/>
      <c r="P12" s="26"/>
      <c r="Q12" s="26"/>
      <c r="R12" s="27"/>
      <c r="S12" s="25"/>
      <c r="T12" s="26"/>
      <c r="U12" s="26"/>
      <c r="V12" s="27"/>
      <c r="W12" s="66">
        <f t="shared" ref="W12:W20" si="4">G12+K12+O12</f>
        <v>0</v>
      </c>
      <c r="X12" s="67"/>
      <c r="Y12" s="67"/>
      <c r="Z12" s="68"/>
      <c r="AA12" s="66">
        <f t="shared" ref="AA12:AA20" si="5">IF($AD$10="Sim",W12*0.05,0)</f>
        <v>0</v>
      </c>
      <c r="AB12" s="67"/>
      <c r="AC12" s="67"/>
      <c r="AD12" s="68"/>
      <c r="AE12" s="66">
        <f t="shared" si="3"/>
        <v>0</v>
      </c>
      <c r="AF12" s="67"/>
      <c r="AG12" s="67"/>
      <c r="AH12" s="68"/>
      <c r="AI12" s="88">
        <f ca="1">IF($G$10="TAB01",IF($D$6&gt;0,AI11+3,""),IF($D$6&gt;0,AI11+3,""))</f>
        <v>46080</v>
      </c>
      <c r="AJ12" s="89"/>
      <c r="AK12" s="89"/>
      <c r="AL12" s="89"/>
      <c r="AM12" s="90"/>
      <c r="CR12" s="109">
        <f t="shared" ref="CR12:CR20" si="6">VALUE(D12)</f>
        <v>2</v>
      </c>
      <c r="CS12" s="116">
        <f>IF($G$10="TAB01",_xlfn.XLOOKUP(CR12,IMPORTACAO!$DB$5:$DB$14,IMPORTACAO!$DD$5:$DD$14),IF($N$7&lt;=IMPORTACAO!$DG$20,IMPORTACAO!$DD$20,IF($N$7&lt;=IMPORTACAO!$DG$21,IMPORTACAO!$DD$21,IMPORTACAO!$DD$22))*CR12)</f>
        <v>1.4999999999999999E-2</v>
      </c>
      <c r="DB12" s="34">
        <v>8</v>
      </c>
      <c r="DC12" s="42" t="s">
        <v>4</v>
      </c>
      <c r="DD12" s="43">
        <f t="shared" si="1"/>
        <v>0.13499999999999998</v>
      </c>
      <c r="DE12" s="34"/>
      <c r="DF12" s="34"/>
      <c r="DG12" s="36">
        <f t="shared" si="0"/>
        <v>10322.450000000001</v>
      </c>
    </row>
    <row r="13" spans="2:125" x14ac:dyDescent="0.25">
      <c r="B13" s="75"/>
      <c r="D13" s="30" t="s">
        <v>29</v>
      </c>
      <c r="E13" s="20"/>
      <c r="F13" s="21"/>
      <c r="G13" s="72">
        <f t="shared" si="2"/>
        <v>0</v>
      </c>
      <c r="H13" s="73"/>
      <c r="I13" s="73"/>
      <c r="J13" s="74"/>
      <c r="K13" s="22">
        <f>ROUND(IF($K$10="TAB02",IF(($X$6*IMPORTACAO!$DD$16)&lt;IMPORTACAO!$DE$16,IMPORTACAO!$DE$16,$X$6*IMPORTACAO!$DD$16),0),2)*IF($X$6&lt;=0,0,1)</f>
        <v>0</v>
      </c>
      <c r="L13" s="23"/>
      <c r="M13" s="23"/>
      <c r="N13" s="24"/>
      <c r="O13" s="25"/>
      <c r="P13" s="26"/>
      <c r="Q13" s="26"/>
      <c r="R13" s="27"/>
      <c r="S13" s="25"/>
      <c r="T13" s="26"/>
      <c r="U13" s="26"/>
      <c r="V13" s="27"/>
      <c r="W13" s="66">
        <f t="shared" si="4"/>
        <v>0</v>
      </c>
      <c r="X13" s="67"/>
      <c r="Y13" s="67"/>
      <c r="Z13" s="68"/>
      <c r="AA13" s="66">
        <f t="shared" si="5"/>
        <v>0</v>
      </c>
      <c r="AB13" s="67"/>
      <c r="AC13" s="67"/>
      <c r="AD13" s="68"/>
      <c r="AE13" s="66">
        <f t="shared" si="3"/>
        <v>0</v>
      </c>
      <c r="AF13" s="67"/>
      <c r="AG13" s="67"/>
      <c r="AH13" s="68"/>
      <c r="AI13" s="88">
        <f ca="1">IF($G$10="TAB01",IF($D$6&gt;0,AI12+5,""),IF($D$6&gt;0,AI12+3,""))</f>
        <v>46085</v>
      </c>
      <c r="AJ13" s="89"/>
      <c r="AK13" s="89"/>
      <c r="AL13" s="89"/>
      <c r="AM13" s="90"/>
      <c r="CR13" s="109">
        <f t="shared" si="6"/>
        <v>3</v>
      </c>
      <c r="CS13" s="116">
        <f>IF($G$10="TAB01",_xlfn.XLOOKUP(CR13,IMPORTACAO!$DB$5:$DB$14,IMPORTACAO!$DD$5:$DD$14),IF($N$7&lt;=IMPORTACAO!$DG$20,IMPORTACAO!$DD$20,IF($N$7&lt;=IMPORTACAO!$DG$21,IMPORTACAO!$DD$21,IMPORTACAO!$DD$22))*CR13)</f>
        <v>2.2499999999999999E-2</v>
      </c>
      <c r="DB13" s="34">
        <v>9</v>
      </c>
      <c r="DC13" s="42" t="s">
        <v>4</v>
      </c>
      <c r="DD13" s="43">
        <f t="shared" si="1"/>
        <v>0.15749999999999997</v>
      </c>
      <c r="DE13" s="34"/>
      <c r="DF13" s="34"/>
      <c r="DG13" s="36">
        <f t="shared" si="0"/>
        <v>10322.450000000001</v>
      </c>
    </row>
    <row r="14" spans="2:125" x14ac:dyDescent="0.25">
      <c r="B14" s="75"/>
      <c r="D14" s="30" t="s">
        <v>8</v>
      </c>
      <c r="E14" s="20"/>
      <c r="F14" s="21"/>
      <c r="G14" s="72">
        <f t="shared" si="2"/>
        <v>0</v>
      </c>
      <c r="H14" s="73"/>
      <c r="I14" s="73"/>
      <c r="J14" s="74"/>
      <c r="K14" s="22">
        <f>ROUND(IF($K$10="TAB02",IF(($X$6*IMPORTACAO!$DD$16)&lt;IMPORTACAO!$DE$16,IMPORTACAO!$DE$16,$X$6*IMPORTACAO!$DD$16),0),2)*IF($X$6&lt;=0,0,1)</f>
        <v>0</v>
      </c>
      <c r="L14" s="23"/>
      <c r="M14" s="23"/>
      <c r="N14" s="24"/>
      <c r="O14" s="25"/>
      <c r="P14" s="26"/>
      <c r="Q14" s="26"/>
      <c r="R14" s="27"/>
      <c r="S14" s="25"/>
      <c r="T14" s="26"/>
      <c r="U14" s="26"/>
      <c r="V14" s="27"/>
      <c r="W14" s="66">
        <f t="shared" si="4"/>
        <v>0</v>
      </c>
      <c r="X14" s="67"/>
      <c r="Y14" s="67"/>
      <c r="Z14" s="68"/>
      <c r="AA14" s="66">
        <f t="shared" si="5"/>
        <v>0</v>
      </c>
      <c r="AB14" s="67"/>
      <c r="AC14" s="67"/>
      <c r="AD14" s="68"/>
      <c r="AE14" s="66">
        <f t="shared" si="3"/>
        <v>0</v>
      </c>
      <c r="AF14" s="67"/>
      <c r="AG14" s="67"/>
      <c r="AH14" s="68"/>
      <c r="AI14" s="88">
        <f t="shared" ref="AI14:AI20" ca="1" si="7">IF($G$10="TAB01",IF($D$6&gt;0,AI13+10,""),IF($D$6&gt;0,AI13+3,""))</f>
        <v>46095</v>
      </c>
      <c r="AJ14" s="89"/>
      <c r="AK14" s="89"/>
      <c r="AL14" s="89"/>
      <c r="AM14" s="90"/>
      <c r="CR14" s="109">
        <f t="shared" si="6"/>
        <v>4</v>
      </c>
      <c r="CS14" s="116">
        <f>IF($G$10="TAB01",_xlfn.XLOOKUP(CR14,IMPORTACAO!$DB$5:$DB$14,IMPORTACAO!$DD$5:$DD$14),IF($N$7&lt;=IMPORTACAO!$DG$20,IMPORTACAO!$DD$20,IF($N$7&lt;=IMPORTACAO!$DG$21,IMPORTACAO!$DD$21,IMPORTACAO!$DD$22))*CR14)</f>
        <v>4.4999999999999998E-2</v>
      </c>
      <c r="DB14" s="34">
        <v>10</v>
      </c>
      <c r="DC14" s="42" t="s">
        <v>4</v>
      </c>
      <c r="DD14" s="43">
        <f t="shared" si="1"/>
        <v>0.17999999999999997</v>
      </c>
      <c r="DE14" s="34"/>
      <c r="DF14" s="34"/>
      <c r="DG14" s="36">
        <f t="shared" si="0"/>
        <v>10322.450000000001</v>
      </c>
    </row>
    <row r="15" spans="2:125" x14ac:dyDescent="0.25">
      <c r="B15" s="75"/>
      <c r="D15" s="30" t="s">
        <v>5</v>
      </c>
      <c r="E15" s="20"/>
      <c r="F15" s="21"/>
      <c r="G15" s="72">
        <f t="shared" si="2"/>
        <v>0</v>
      </c>
      <c r="H15" s="73"/>
      <c r="I15" s="73"/>
      <c r="J15" s="74"/>
      <c r="K15" s="22">
        <f>ROUND(IF($K$10="TAB02",IF(($X$6*IMPORTACAO!$DD$16)&lt;IMPORTACAO!$DE$16,IMPORTACAO!$DE$16,$X$6*IMPORTACAO!$DD$16),0),2)*IF($X$6&lt;=0,0,1)</f>
        <v>0</v>
      </c>
      <c r="L15" s="23"/>
      <c r="M15" s="23"/>
      <c r="N15" s="24"/>
      <c r="O15" s="25"/>
      <c r="P15" s="26"/>
      <c r="Q15" s="26"/>
      <c r="R15" s="27"/>
      <c r="S15" s="25"/>
      <c r="T15" s="26"/>
      <c r="U15" s="26"/>
      <c r="V15" s="27"/>
      <c r="W15" s="66">
        <f t="shared" si="4"/>
        <v>0</v>
      </c>
      <c r="X15" s="67"/>
      <c r="Y15" s="67"/>
      <c r="Z15" s="68"/>
      <c r="AA15" s="66">
        <f t="shared" si="5"/>
        <v>0</v>
      </c>
      <c r="AB15" s="67"/>
      <c r="AC15" s="67"/>
      <c r="AD15" s="68"/>
      <c r="AE15" s="66">
        <f t="shared" si="3"/>
        <v>0</v>
      </c>
      <c r="AF15" s="67"/>
      <c r="AG15" s="67"/>
      <c r="AH15" s="68"/>
      <c r="AI15" s="88">
        <f t="shared" ca="1" si="7"/>
        <v>46105</v>
      </c>
      <c r="AJ15" s="89"/>
      <c r="AK15" s="89"/>
      <c r="AL15" s="89"/>
      <c r="AM15" s="90"/>
      <c r="CR15" s="109">
        <f t="shared" si="6"/>
        <v>5</v>
      </c>
      <c r="CS15" s="116">
        <f>IF($G$10="TAB01",_xlfn.XLOOKUP(CR15,IMPORTACAO!$DB$5:$DB$14,IMPORTACAO!$DD$5:$DD$14),IF($N$7&lt;=IMPORTACAO!$DG$20,IMPORTACAO!$DD$20,IF($N$7&lt;=IMPORTACAO!$DG$21,IMPORTACAO!$DD$21,IMPORTACAO!$DD$22))*CR15)</f>
        <v>6.7500000000000004E-2</v>
      </c>
      <c r="DB15" s="34"/>
      <c r="DC15" s="42"/>
      <c r="DD15" s="43"/>
      <c r="DE15" s="34"/>
      <c r="DF15" s="34"/>
      <c r="DG15" s="36"/>
    </row>
    <row r="16" spans="2:125" x14ac:dyDescent="0.25">
      <c r="B16" s="75"/>
      <c r="D16" s="30" t="s">
        <v>24</v>
      </c>
      <c r="E16" s="20"/>
      <c r="F16" s="21"/>
      <c r="G16" s="72">
        <f t="shared" si="2"/>
        <v>0</v>
      </c>
      <c r="H16" s="73"/>
      <c r="I16" s="73"/>
      <c r="J16" s="74"/>
      <c r="K16" s="22">
        <f>ROUND(IF($K$10="TAB02",IF(($X$6*IMPORTACAO!$DD$16)&lt;IMPORTACAO!$DE$16,IMPORTACAO!$DE$16,$X$6*IMPORTACAO!$DD$16),0),2)*IF($X$6&lt;=0,0,1)</f>
        <v>0</v>
      </c>
      <c r="L16" s="23"/>
      <c r="M16" s="23"/>
      <c r="N16" s="24"/>
      <c r="O16" s="25"/>
      <c r="P16" s="26"/>
      <c r="Q16" s="26"/>
      <c r="R16" s="27"/>
      <c r="S16" s="25"/>
      <c r="T16" s="26"/>
      <c r="U16" s="26"/>
      <c r="V16" s="27"/>
      <c r="W16" s="66">
        <f t="shared" si="4"/>
        <v>0</v>
      </c>
      <c r="X16" s="67"/>
      <c r="Y16" s="67"/>
      <c r="Z16" s="68"/>
      <c r="AA16" s="66">
        <f t="shared" si="5"/>
        <v>0</v>
      </c>
      <c r="AB16" s="67"/>
      <c r="AC16" s="67"/>
      <c r="AD16" s="68"/>
      <c r="AE16" s="66">
        <f t="shared" si="3"/>
        <v>0</v>
      </c>
      <c r="AF16" s="67"/>
      <c r="AG16" s="67"/>
      <c r="AH16" s="68"/>
      <c r="AI16" s="88">
        <f t="shared" ca="1" si="7"/>
        <v>46115</v>
      </c>
      <c r="AJ16" s="89"/>
      <c r="AK16" s="89"/>
      <c r="AL16" s="89"/>
      <c r="AM16" s="90"/>
      <c r="CR16" s="109">
        <f t="shared" si="6"/>
        <v>6</v>
      </c>
      <c r="CS16" s="116">
        <f>IF($G$10="TAB01",_xlfn.XLOOKUP(CR16,IMPORTACAO!$DB$5:$DB$14,IMPORTACAO!$DD$5:$DD$14),IF($N$7&lt;=IMPORTACAO!$DG$20,IMPORTACAO!$DD$20,IF($N$7&lt;=IMPORTACAO!$DG$21,IMPORTACAO!$DD$21,IMPORTACAO!$DD$22))*CR16)</f>
        <v>0.09</v>
      </c>
      <c r="DB16" s="41" t="s">
        <v>10</v>
      </c>
      <c r="DC16" s="42" t="s">
        <v>9</v>
      </c>
      <c r="DD16" s="44">
        <v>0.25979999999999998</v>
      </c>
      <c r="DE16" s="34">
        <v>57.79</v>
      </c>
      <c r="DF16" s="34"/>
      <c r="DG16" s="34"/>
    </row>
    <row r="17" spans="2:111" x14ac:dyDescent="0.25">
      <c r="B17" s="75"/>
      <c r="D17" s="30" t="s">
        <v>25</v>
      </c>
      <c r="E17" s="20"/>
      <c r="F17" s="21"/>
      <c r="G17" s="72">
        <f t="shared" si="2"/>
        <v>0</v>
      </c>
      <c r="H17" s="73"/>
      <c r="I17" s="73"/>
      <c r="J17" s="74"/>
      <c r="K17" s="22">
        <f>ROUND(IF($K$10="TAB02",IF(($X$6*IMPORTACAO!$DD$16)&lt;IMPORTACAO!$DE$16,IMPORTACAO!$DE$16,$X$6*IMPORTACAO!$DD$16),0),2)*IF($X$6&lt;=0,0,1)</f>
        <v>0</v>
      </c>
      <c r="L17" s="23"/>
      <c r="M17" s="23"/>
      <c r="N17" s="24"/>
      <c r="O17" s="25"/>
      <c r="P17" s="26"/>
      <c r="Q17" s="26"/>
      <c r="R17" s="27"/>
      <c r="S17" s="25"/>
      <c r="T17" s="26"/>
      <c r="U17" s="26"/>
      <c r="V17" s="27"/>
      <c r="W17" s="66">
        <f t="shared" si="4"/>
        <v>0</v>
      </c>
      <c r="X17" s="67"/>
      <c r="Y17" s="67"/>
      <c r="Z17" s="68"/>
      <c r="AA17" s="66">
        <f t="shared" si="5"/>
        <v>0</v>
      </c>
      <c r="AB17" s="67"/>
      <c r="AC17" s="67"/>
      <c r="AD17" s="68"/>
      <c r="AE17" s="66">
        <f t="shared" si="3"/>
        <v>0</v>
      </c>
      <c r="AF17" s="67"/>
      <c r="AG17" s="67"/>
      <c r="AH17" s="68"/>
      <c r="AI17" s="88">
        <f t="shared" ca="1" si="7"/>
        <v>46125</v>
      </c>
      <c r="AJ17" s="89"/>
      <c r="AK17" s="89"/>
      <c r="AL17" s="89"/>
      <c r="AM17" s="90"/>
      <c r="CR17" s="109">
        <f t="shared" si="6"/>
        <v>7</v>
      </c>
      <c r="CS17" s="116">
        <f>IF($G$10="TAB01",_xlfn.XLOOKUP(CR17,IMPORTACAO!$DB$5:$DB$14,IMPORTACAO!$DD$5:$DD$14),IF($N$7&lt;=IMPORTACAO!$DG$20,IMPORTACAO!$DD$20,IF($N$7&lt;=IMPORTACAO!$DG$21,IMPORTACAO!$DD$21,IMPORTACAO!$DD$22))*CR17)</f>
        <v>0.11249999999999999</v>
      </c>
      <c r="DB17" s="41"/>
      <c r="DC17" s="42"/>
      <c r="DD17" s="44"/>
      <c r="DE17" s="34"/>
      <c r="DF17" s="34"/>
      <c r="DG17" s="34"/>
    </row>
    <row r="18" spans="2:111" x14ac:dyDescent="0.25">
      <c r="B18" s="18"/>
      <c r="D18" s="30" t="s">
        <v>30</v>
      </c>
      <c r="E18" s="20"/>
      <c r="F18" s="21"/>
      <c r="G18" s="72">
        <f t="shared" si="2"/>
        <v>0</v>
      </c>
      <c r="H18" s="73"/>
      <c r="I18" s="73"/>
      <c r="J18" s="74"/>
      <c r="K18" s="22">
        <f>ROUND(IF($K$10="TAB02",IF(($X$6*IMPORTACAO!$DD$16)&lt;IMPORTACAO!$DE$16,IMPORTACAO!$DE$16,$X$6*IMPORTACAO!$DD$16),0),2)*IF($X$6&lt;=0,0,1)</f>
        <v>0</v>
      </c>
      <c r="L18" s="23"/>
      <c r="M18" s="23"/>
      <c r="N18" s="24"/>
      <c r="O18" s="25"/>
      <c r="P18" s="26"/>
      <c r="Q18" s="26"/>
      <c r="R18" s="27"/>
      <c r="S18" s="25"/>
      <c r="T18" s="26"/>
      <c r="U18" s="26"/>
      <c r="V18" s="27"/>
      <c r="W18" s="66">
        <f t="shared" si="4"/>
        <v>0</v>
      </c>
      <c r="X18" s="67"/>
      <c r="Y18" s="67"/>
      <c r="Z18" s="68"/>
      <c r="AA18" s="66">
        <f t="shared" si="5"/>
        <v>0</v>
      </c>
      <c r="AB18" s="67"/>
      <c r="AC18" s="67"/>
      <c r="AD18" s="68"/>
      <c r="AE18" s="66">
        <f t="shared" si="3"/>
        <v>0</v>
      </c>
      <c r="AF18" s="67"/>
      <c r="AG18" s="67"/>
      <c r="AH18" s="68"/>
      <c r="AI18" s="88">
        <f t="shared" ca="1" si="7"/>
        <v>46135</v>
      </c>
      <c r="AJ18" s="89"/>
      <c r="AK18" s="89"/>
      <c r="AL18" s="89"/>
      <c r="AM18" s="90"/>
      <c r="CR18" s="109">
        <f t="shared" si="6"/>
        <v>8</v>
      </c>
      <c r="CS18" s="116">
        <f>IF($G$10="TAB01",_xlfn.XLOOKUP(CR18,IMPORTACAO!$DB$5:$DB$14,IMPORTACAO!$DD$5:$DD$14),IF($N$7&lt;=IMPORTACAO!$DG$20,IMPORTACAO!$DD$20,IF($N$7&lt;=IMPORTACAO!$DG$21,IMPORTACAO!$DD$21,IMPORTACAO!$DD$22))*CR18)</f>
        <v>0.13499999999999998</v>
      </c>
      <c r="DB18" s="41" t="s">
        <v>10</v>
      </c>
      <c r="DC18" s="42" t="s">
        <v>8</v>
      </c>
      <c r="DD18" s="44">
        <v>1.4737</v>
      </c>
      <c r="DE18" s="34">
        <v>98.31</v>
      </c>
      <c r="DF18" s="34"/>
      <c r="DG18" s="34"/>
    </row>
    <row r="19" spans="2:111" x14ac:dyDescent="0.25">
      <c r="B19" s="18"/>
      <c r="D19" s="30" t="s">
        <v>31</v>
      </c>
      <c r="E19" s="20"/>
      <c r="F19" s="21"/>
      <c r="G19" s="72">
        <f t="shared" si="2"/>
        <v>0</v>
      </c>
      <c r="H19" s="73"/>
      <c r="I19" s="73"/>
      <c r="J19" s="74"/>
      <c r="K19" s="22">
        <f>ROUND(IF($K$10="TAB02",IF(($X$6*IMPORTACAO!$DD$16)&lt;IMPORTACAO!$DE$16,IMPORTACAO!$DE$16,$X$6*IMPORTACAO!$DD$16),0),2)*IF($X$6&lt;=0,0,1)</f>
        <v>0</v>
      </c>
      <c r="L19" s="23"/>
      <c r="M19" s="23"/>
      <c r="N19" s="24"/>
      <c r="O19" s="25"/>
      <c r="P19" s="26"/>
      <c r="Q19" s="26"/>
      <c r="R19" s="27"/>
      <c r="S19" s="25"/>
      <c r="T19" s="26"/>
      <c r="U19" s="26"/>
      <c r="V19" s="27"/>
      <c r="W19" s="66">
        <f t="shared" si="4"/>
        <v>0</v>
      </c>
      <c r="X19" s="67"/>
      <c r="Y19" s="67"/>
      <c r="Z19" s="68"/>
      <c r="AA19" s="66">
        <f t="shared" si="5"/>
        <v>0</v>
      </c>
      <c r="AB19" s="67"/>
      <c r="AC19" s="67"/>
      <c r="AD19" s="68"/>
      <c r="AE19" s="66">
        <f t="shared" si="3"/>
        <v>0</v>
      </c>
      <c r="AF19" s="67"/>
      <c r="AG19" s="67"/>
      <c r="AH19" s="68"/>
      <c r="AI19" s="88">
        <f t="shared" ca="1" si="7"/>
        <v>46145</v>
      </c>
      <c r="AJ19" s="89"/>
      <c r="AK19" s="89"/>
      <c r="AL19" s="89"/>
      <c r="AM19" s="90"/>
      <c r="CR19" s="109">
        <f t="shared" si="6"/>
        <v>9</v>
      </c>
      <c r="CS19" s="116">
        <f>IF($G$10="TAB01",_xlfn.XLOOKUP(CR19,IMPORTACAO!$DB$5:$DB$14,IMPORTACAO!$DD$5:$DD$14),IF($N$7&lt;=IMPORTACAO!$DG$20,IMPORTACAO!$DD$20,IF($N$7&lt;=IMPORTACAO!$DG$21,IMPORTACAO!$DD$21,IMPORTACAO!$DD$22))*CR19)</f>
        <v>0.15749999999999997</v>
      </c>
      <c r="DB19" s="34"/>
      <c r="DC19" s="41"/>
      <c r="DD19" s="41"/>
      <c r="DE19" s="34"/>
      <c r="DF19" s="34"/>
      <c r="DG19" s="34"/>
    </row>
    <row r="20" spans="2:111" x14ac:dyDescent="0.25">
      <c r="D20" s="30" t="s">
        <v>32</v>
      </c>
      <c r="E20" s="20"/>
      <c r="F20" s="21"/>
      <c r="G20" s="72">
        <f t="shared" si="2"/>
        <v>0</v>
      </c>
      <c r="H20" s="73"/>
      <c r="I20" s="73"/>
      <c r="J20" s="74"/>
      <c r="K20" s="22">
        <f>ROUND(IF($K$10="TAB02",IF(($X$6*IMPORTACAO!$DD$16)&lt;IMPORTACAO!$DE$16,IMPORTACAO!$DE$16,$X$6*IMPORTACAO!$DD$16),0),2)*IF($X$6&lt;=0,0,1)</f>
        <v>0</v>
      </c>
      <c r="L20" s="23"/>
      <c r="M20" s="23"/>
      <c r="N20" s="24"/>
      <c r="O20" s="25"/>
      <c r="P20" s="26"/>
      <c r="Q20" s="26"/>
      <c r="R20" s="27"/>
      <c r="S20" s="25"/>
      <c r="T20" s="26"/>
      <c r="U20" s="26"/>
      <c r="V20" s="27"/>
      <c r="W20" s="66">
        <f t="shared" si="4"/>
        <v>0</v>
      </c>
      <c r="X20" s="67"/>
      <c r="Y20" s="67"/>
      <c r="Z20" s="68"/>
      <c r="AA20" s="66">
        <f t="shared" si="5"/>
        <v>0</v>
      </c>
      <c r="AB20" s="67"/>
      <c r="AC20" s="67"/>
      <c r="AD20" s="68"/>
      <c r="AE20" s="66">
        <f t="shared" si="3"/>
        <v>0</v>
      </c>
      <c r="AF20" s="67"/>
      <c r="AG20" s="67"/>
      <c r="AH20" s="68"/>
      <c r="AI20" s="88">
        <f t="shared" ca="1" si="7"/>
        <v>46155</v>
      </c>
      <c r="AJ20" s="89"/>
      <c r="AK20" s="89"/>
      <c r="AL20" s="89"/>
      <c r="AM20" s="90"/>
      <c r="CR20" s="109">
        <f t="shared" si="6"/>
        <v>10</v>
      </c>
      <c r="CS20" s="116">
        <f>IF($G$10="TAB01",_xlfn.XLOOKUP(CR20,IMPORTACAO!$DB$5:$DB$14,IMPORTACAO!$DD$5:$DD$14),IF($N$7&lt;=IMPORTACAO!$DG$20,IMPORTACAO!$DD$20,IF($N$7&lt;=IMPORTACAO!$DG$21,IMPORTACAO!$DD$21,IMPORTACAO!$DD$22))*CR20)</f>
        <v>0.17999999999999997</v>
      </c>
      <c r="DB20" s="34"/>
      <c r="DC20" s="42" t="s">
        <v>5</v>
      </c>
      <c r="DD20" s="43">
        <v>6.0000000000000001E-3</v>
      </c>
      <c r="DE20" s="34"/>
      <c r="DF20" s="34"/>
      <c r="DG20" s="36">
        <v>41289.79</v>
      </c>
    </row>
    <row r="21" spans="2:111" x14ac:dyDescent="0.25">
      <c r="D21" s="1" t="s">
        <v>34</v>
      </c>
      <c r="DB21" s="34"/>
      <c r="DC21" s="42" t="s">
        <v>5</v>
      </c>
      <c r="DD21" s="43">
        <v>3.0000000000000001E-3</v>
      </c>
      <c r="DE21" s="34"/>
      <c r="DF21" s="34"/>
      <c r="DG21" s="36">
        <v>165159.18</v>
      </c>
    </row>
    <row r="22" spans="2:111" x14ac:dyDescent="0.25">
      <c r="DB22" s="34"/>
      <c r="DC22" s="42" t="s">
        <v>5</v>
      </c>
      <c r="DD22" s="43">
        <v>1.5E-3</v>
      </c>
      <c r="DE22" s="34"/>
      <c r="DF22" s="34"/>
      <c r="DG22" s="36"/>
    </row>
    <row r="23" spans="2:111" x14ac:dyDescent="0.25">
      <c r="B23" s="2"/>
      <c r="DB23" s="34"/>
      <c r="DC23" s="41"/>
      <c r="DD23" s="41"/>
      <c r="DE23" s="34"/>
      <c r="DF23" s="34"/>
      <c r="DG23" s="34"/>
    </row>
    <row r="24" spans="2:111" x14ac:dyDescent="0.25">
      <c r="DB24" s="34">
        <v>6</v>
      </c>
      <c r="DC24" s="45">
        <v>0.5</v>
      </c>
      <c r="DD24" s="43">
        <f>ROUND($DD$5+($DD$5*DC24),4)</f>
        <v>1.1299999999999999E-2</v>
      </c>
      <c r="DE24" s="46">
        <v>0</v>
      </c>
      <c r="DF24" s="47">
        <f>DD24-(DD24*DE24)</f>
        <v>1.1299999999999999E-2</v>
      </c>
      <c r="DG24" s="36">
        <f>DG5</f>
        <v>10322.450000000001</v>
      </c>
    </row>
    <row r="25" spans="2:111" x14ac:dyDescent="0.25">
      <c r="DB25" s="34">
        <v>12</v>
      </c>
      <c r="DC25" s="45">
        <v>0.25</v>
      </c>
      <c r="DD25" s="43">
        <f>ROUND($DD$5+($DD$5*DC25),4)</f>
        <v>9.4000000000000004E-3</v>
      </c>
      <c r="DE25" s="46">
        <v>0</v>
      </c>
      <c r="DF25" s="47">
        <f>DD25-(DD25*DE25)</f>
        <v>9.4000000000000004E-3</v>
      </c>
      <c r="DG25" s="36">
        <f>DG24</f>
        <v>10322.450000000001</v>
      </c>
    </row>
    <row r="26" spans="2:111" x14ac:dyDescent="0.25">
      <c r="DB26" s="34">
        <v>24</v>
      </c>
      <c r="DC26" s="45">
        <v>0.12</v>
      </c>
      <c r="DD26" s="43">
        <f>ROUND($DD$5+($DD$5*DC26),4)</f>
        <v>8.3999999999999995E-3</v>
      </c>
      <c r="DE26" s="46">
        <v>0</v>
      </c>
      <c r="DF26" s="47">
        <f>DD26-(DD26*DE26)</f>
        <v>8.3999999999999995E-3</v>
      </c>
      <c r="DG26" s="36">
        <f>DG25</f>
        <v>10322.450000000001</v>
      </c>
    </row>
    <row r="27" spans="2:111" x14ac:dyDescent="0.25">
      <c r="DC27" s="48"/>
      <c r="DD27" s="49"/>
      <c r="DG27" s="38"/>
    </row>
    <row r="28" spans="2:111" x14ac:dyDescent="0.25">
      <c r="DB28" s="34">
        <v>6</v>
      </c>
      <c r="DC28" s="45">
        <v>0.5</v>
      </c>
      <c r="DD28" s="43">
        <f>ROUND($DD$20+($DD$20*DC28),4)</f>
        <v>8.9999999999999993E-3</v>
      </c>
      <c r="DE28" s="46">
        <v>0</v>
      </c>
      <c r="DF28" s="47">
        <f>ROUND(DD28-(DD28*DE28),5)</f>
        <v>8.9999999999999993E-3</v>
      </c>
      <c r="DG28" s="36">
        <f>DG20</f>
        <v>41289.79</v>
      </c>
    </row>
    <row r="29" spans="2:111" x14ac:dyDescent="0.25">
      <c r="DB29" s="34">
        <v>12</v>
      </c>
      <c r="DC29" s="45">
        <v>0.25</v>
      </c>
      <c r="DD29" s="43">
        <f>ROUND($DD$20+($DD$20*DC29),4)</f>
        <v>7.4999999999999997E-3</v>
      </c>
      <c r="DE29" s="46">
        <v>0</v>
      </c>
      <c r="DF29" s="47">
        <f>ROUND(DD29-(DD29*DE29),5)</f>
        <v>7.4999999999999997E-3</v>
      </c>
      <c r="DG29" s="36">
        <f>DG28</f>
        <v>41289.79</v>
      </c>
    </row>
    <row r="30" spans="2:111" x14ac:dyDescent="0.25">
      <c r="DB30" s="34">
        <v>24</v>
      </c>
      <c r="DC30" s="45">
        <v>0.12</v>
      </c>
      <c r="DD30" s="43">
        <f>ROUND($DD$20+($DD$20*DC30),4)</f>
        <v>6.7000000000000002E-3</v>
      </c>
      <c r="DE30" s="46">
        <v>0</v>
      </c>
      <c r="DF30" s="47">
        <f>ROUND(DD30-(DD30*DE30),5)</f>
        <v>6.7000000000000002E-3</v>
      </c>
      <c r="DG30" s="36">
        <f>DG29</f>
        <v>41289.79</v>
      </c>
    </row>
    <row r="32" spans="2:111" x14ac:dyDescent="0.25">
      <c r="DB32" s="34">
        <v>6</v>
      </c>
      <c r="DC32" s="45">
        <v>0.5</v>
      </c>
      <c r="DD32" s="43">
        <f>ROUND($DD$21+($DD$21*DC32),4)</f>
        <v>4.4999999999999997E-3</v>
      </c>
      <c r="DE32" s="46">
        <v>0</v>
      </c>
      <c r="DF32" s="47">
        <f>ROUND(DD32-(DD32*DE32),5)</f>
        <v>4.4999999999999997E-3</v>
      </c>
      <c r="DG32" s="36">
        <f>DG21</f>
        <v>165159.18</v>
      </c>
    </row>
    <row r="33" spans="106:111" x14ac:dyDescent="0.25">
      <c r="DB33" s="34">
        <v>12</v>
      </c>
      <c r="DC33" s="45">
        <v>0.25</v>
      </c>
      <c r="DD33" s="43">
        <f>ROUND($DD$21+($DD$21*DC33),4)</f>
        <v>3.8E-3</v>
      </c>
      <c r="DE33" s="46">
        <v>0</v>
      </c>
      <c r="DF33" s="47">
        <f>ROUND(DD33-(DD33*DE33),5)</f>
        <v>3.8E-3</v>
      </c>
      <c r="DG33" s="36">
        <f>DG32</f>
        <v>165159.18</v>
      </c>
    </row>
    <row r="34" spans="106:111" x14ac:dyDescent="0.25">
      <c r="DB34" s="34">
        <v>24</v>
      </c>
      <c r="DC34" s="45">
        <v>0.12</v>
      </c>
      <c r="DD34" s="43">
        <f>ROUND($DD$21+($DD$21*DC34),4)</f>
        <v>3.3999999999999998E-3</v>
      </c>
      <c r="DE34" s="46">
        <v>0</v>
      </c>
      <c r="DF34" s="47">
        <f>ROUND(DD34-(DD34*DE34),5)</f>
        <v>3.3999999999999998E-3</v>
      </c>
      <c r="DG34" s="36">
        <f>DG33</f>
        <v>165159.18</v>
      </c>
    </row>
    <row r="36" spans="106:111" x14ac:dyDescent="0.25">
      <c r="DB36" s="34">
        <v>6</v>
      </c>
      <c r="DC36" s="45">
        <v>0.5</v>
      </c>
      <c r="DD36" s="43">
        <f>ROUND($DD$22+($DD$22*DC36),4)</f>
        <v>2.3E-3</v>
      </c>
      <c r="DE36" s="46">
        <v>0</v>
      </c>
      <c r="DF36" s="47">
        <f>ROUND(DD36-(DD36*DE36),5)</f>
        <v>2.3E-3</v>
      </c>
      <c r="DG36" s="36"/>
    </row>
    <row r="37" spans="106:111" x14ac:dyDescent="0.25">
      <c r="DB37" s="34">
        <v>12</v>
      </c>
      <c r="DC37" s="45">
        <v>0.25</v>
      </c>
      <c r="DD37" s="43">
        <f>ROUND($DD$22+($DD$22*DC37),4)</f>
        <v>1.9E-3</v>
      </c>
      <c r="DE37" s="46">
        <v>0</v>
      </c>
      <c r="DF37" s="47">
        <f>ROUND(DD37-(DD37*DE37),5)</f>
        <v>1.9E-3</v>
      </c>
      <c r="DG37" s="36"/>
    </row>
    <row r="38" spans="106:111" x14ac:dyDescent="0.25">
      <c r="DB38" s="34">
        <v>24</v>
      </c>
      <c r="DC38" s="45">
        <v>0.12</v>
      </c>
      <c r="DD38" s="43">
        <f>ROUND($DD$22+($DD$22*DC38),4)</f>
        <v>1.6999999999999999E-3</v>
      </c>
      <c r="DE38" s="46">
        <v>0</v>
      </c>
      <c r="DF38" s="47">
        <f>ROUND(DD38-(DD38*DE38),5)</f>
        <v>1.6999999999999999E-3</v>
      </c>
      <c r="DG38" s="36"/>
    </row>
    <row r="40" spans="106:111" x14ac:dyDescent="0.25">
      <c r="DB40" s="34" t="s">
        <v>12</v>
      </c>
      <c r="DC40" s="50">
        <v>0</v>
      </c>
      <c r="DD40" s="40">
        <v>0</v>
      </c>
      <c r="DE40" s="34"/>
      <c r="DF40" s="34"/>
      <c r="DG40" s="36"/>
    </row>
    <row r="42" spans="106:111" x14ac:dyDescent="0.25">
      <c r="DB42" s="34" t="s">
        <v>13</v>
      </c>
      <c r="DC42" s="50">
        <v>0.1177</v>
      </c>
      <c r="DD42" s="40">
        <v>7.43</v>
      </c>
      <c r="DE42" s="34"/>
      <c r="DF42" s="34"/>
      <c r="DG42" s="36"/>
    </row>
  </sheetData>
  <sheetProtection algorithmName="SHA-512" hashValue="YoXqKr/sCCYBOjlKukb7IL3RLNwwcfKK9YueH3i7F9Cu9m4kpy21B5gua2wH4bNlTi2nDfsHd+dZ054xx/E5HA==" saltValue="fs+TtUNER77lL4LKSFnfzQ==" spinCount="100000" sheet="1" objects="1" scenarios="1"/>
  <mergeCells count="30">
    <mergeCell ref="O11:R11"/>
    <mergeCell ref="AF7:AM7"/>
    <mergeCell ref="AI16:AM16"/>
    <mergeCell ref="AI17:AM17"/>
    <mergeCell ref="AI18:AM18"/>
    <mergeCell ref="AI10:AM10"/>
    <mergeCell ref="AI19:AM19"/>
    <mergeCell ref="AI20:AM20"/>
    <mergeCell ref="AF6:AM6"/>
    <mergeCell ref="AI11:AM11"/>
    <mergeCell ref="AI12:AM12"/>
    <mergeCell ref="AI13:AM13"/>
    <mergeCell ref="AI14:AM14"/>
    <mergeCell ref="AI15:AM15"/>
    <mergeCell ref="D6:M6"/>
    <mergeCell ref="N6:W6"/>
    <mergeCell ref="X6:AA6"/>
    <mergeCell ref="AB6:AE6"/>
    <mergeCell ref="S10:V10"/>
    <mergeCell ref="G20:J20"/>
    <mergeCell ref="G11:J11"/>
    <mergeCell ref="B11:B17"/>
    <mergeCell ref="G17:J17"/>
    <mergeCell ref="G18:J18"/>
    <mergeCell ref="G19:J19"/>
    <mergeCell ref="G12:J12"/>
    <mergeCell ref="G13:J13"/>
    <mergeCell ref="G14:J14"/>
    <mergeCell ref="G15:J15"/>
    <mergeCell ref="G16:J16"/>
  </mergeCells>
  <dataValidations count="5">
    <dataValidation type="list" allowBlank="1" showInputMessage="1" showErrorMessage="1" sqref="AD10" xr:uid="{840F5A8F-56E6-403E-9D7C-77D566842B0C}">
      <formula1>$CS$9:$CS$10</formula1>
    </dataValidation>
    <dataValidation type="list" allowBlank="1" showInputMessage="1" showErrorMessage="1" sqref="AF6:AM6" xr:uid="{27C1756B-18AB-4A60-A758-A246BD3E71BA}">
      <formula1>$CS$5:$CS$8</formula1>
    </dataValidation>
    <dataValidation type="decimal" allowBlank="1" showInputMessage="1" showErrorMessage="1" error="Valores entre 0 e 999999999,9999" sqref="X6:AA6 AB6:AE6" xr:uid="{02D4B4E2-051B-4B2D-992A-D598F5741778}">
      <formula1>0</formula1>
      <formula2>999999999.9999</formula2>
    </dataValidation>
    <dataValidation type="decimal" operator="greaterThan" allowBlank="1" showInputMessage="1" showErrorMessage="1" sqref="N6:W6" xr:uid="{36A9B029-7FD6-40FB-B47A-8E63B9C803B5}">
      <formula1>0</formula1>
    </dataValidation>
    <dataValidation type="date" allowBlank="1" showInputMessage="1" showErrorMessage="1" sqref="D6:M6" xr:uid="{FEDC160A-2653-4C63-BD27-77DAF38612DA}">
      <formula1>45722</formula1>
      <formula2>46387</formula2>
    </dataValidation>
  </dataValidations>
  <pageMargins left="0.70866141732283472" right="0.31496062992125984" top="0.35433070866141736" bottom="0.35433070866141736" header="0.31496062992125984" footer="0.31496062992125984"/>
  <pageSetup paperSize="9" scale="86" orientation="portrait" verticalDpi="599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1943F-F1FC-4392-9F89-7639BD83EE74}">
  <sheetPr>
    <pageSetUpPr fitToPage="1"/>
  </sheetPr>
  <dimension ref="B2:DA23"/>
  <sheetViews>
    <sheetView showGridLines="0" zoomScale="106" zoomScaleNormal="106" workbookViewId="0">
      <selection activeCell="CE16" sqref="CE16"/>
    </sheetView>
  </sheetViews>
  <sheetFormatPr defaultRowHeight="15" x14ac:dyDescent="0.25"/>
  <cols>
    <col min="1" max="29" width="2.7109375" style="1" customWidth="1"/>
    <col min="30" max="30" width="3.5703125" style="1" customWidth="1"/>
    <col min="31" max="37" width="2.7109375" style="1" customWidth="1"/>
    <col min="38" max="39" width="2.7109375" style="53" customWidth="1"/>
    <col min="40" max="40" width="3.140625" style="33" customWidth="1"/>
    <col min="41" max="41" width="7.7109375" style="33" hidden="1" customWidth="1"/>
    <col min="42" max="46" width="3.140625" style="33" hidden="1" customWidth="1"/>
    <col min="47" max="47" width="7" style="33" hidden="1" customWidth="1"/>
    <col min="48" max="48" width="5" style="33" hidden="1" customWidth="1"/>
    <col min="49" max="61" width="3.140625" style="33" hidden="1" customWidth="1"/>
    <col min="62" max="95" width="3.140625" style="55" customWidth="1"/>
    <col min="96" max="101" width="9.140625" style="53" customWidth="1"/>
    <col min="102" max="105" width="9.140625" style="53"/>
    <col min="106" max="16384" width="9.140625" style="1"/>
  </cols>
  <sheetData>
    <row r="2" spans="2:105" x14ac:dyDescent="0.25">
      <c r="L2" s="15" t="s">
        <v>38</v>
      </c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</row>
    <row r="3" spans="2:105" ht="15.75" x14ac:dyDescent="0.25">
      <c r="I3" s="17" t="s">
        <v>26</v>
      </c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56"/>
    </row>
    <row r="5" spans="2:105" s="5" customFormat="1" ht="24.95" customHeight="1" x14ac:dyDescent="0.25">
      <c r="D5" s="102" t="s">
        <v>23</v>
      </c>
      <c r="E5" s="103"/>
      <c r="F5" s="103"/>
      <c r="G5" s="103"/>
      <c r="H5" s="103"/>
      <c r="I5" s="103"/>
      <c r="J5" s="103"/>
      <c r="K5" s="103"/>
      <c r="L5" s="103"/>
      <c r="M5" s="104"/>
      <c r="N5" s="102" t="s">
        <v>36</v>
      </c>
      <c r="O5" s="103"/>
      <c r="P5" s="103"/>
      <c r="Q5" s="103"/>
      <c r="R5" s="103"/>
      <c r="S5" s="103"/>
      <c r="T5" s="103"/>
      <c r="U5" s="103"/>
      <c r="V5" s="103"/>
      <c r="W5" s="104"/>
      <c r="X5" s="102" t="s">
        <v>37</v>
      </c>
      <c r="Y5" s="103"/>
      <c r="Z5" s="103"/>
      <c r="AA5" s="104"/>
      <c r="AB5" s="102" t="s">
        <v>27</v>
      </c>
      <c r="AC5" s="103"/>
      <c r="AD5" s="103"/>
      <c r="AE5" s="104"/>
      <c r="AF5" s="62"/>
      <c r="AG5" s="62"/>
      <c r="AH5" s="62"/>
      <c r="AI5" s="62"/>
      <c r="AJ5" s="62"/>
      <c r="AK5" s="62"/>
      <c r="AL5" s="63"/>
      <c r="AM5" s="63"/>
      <c r="AN5" s="35"/>
      <c r="AO5" s="35"/>
      <c r="AP5" s="35"/>
      <c r="AQ5" s="35"/>
      <c r="AR5" s="35"/>
      <c r="AS5" s="35"/>
      <c r="AT5" s="35"/>
      <c r="AU5" s="35">
        <v>0.1177</v>
      </c>
      <c r="AV5" s="35">
        <v>7.43</v>
      </c>
      <c r="AW5" s="35"/>
      <c r="AX5" s="35"/>
      <c r="AY5" s="35"/>
      <c r="AZ5" s="35"/>
      <c r="BA5" s="35"/>
      <c r="BB5" s="35"/>
      <c r="BC5" s="35"/>
      <c r="BD5" s="35" t="s">
        <v>14</v>
      </c>
      <c r="BE5" s="35"/>
      <c r="BF5" s="35"/>
      <c r="BG5" s="35"/>
      <c r="BH5" s="35"/>
      <c r="BI5" s="35"/>
      <c r="BJ5" s="58"/>
      <c r="BK5" s="58"/>
      <c r="BL5" s="58"/>
      <c r="BM5" s="58"/>
      <c r="BN5" s="58"/>
      <c r="BO5" s="58"/>
      <c r="BP5" s="58"/>
      <c r="BQ5" s="58"/>
      <c r="BR5" s="58"/>
      <c r="BS5" s="58"/>
      <c r="BT5" s="58"/>
      <c r="BU5" s="58"/>
      <c r="BV5" s="58"/>
      <c r="BW5" s="58"/>
      <c r="BX5" s="58"/>
      <c r="BY5" s="58"/>
      <c r="BZ5" s="58"/>
      <c r="CA5" s="58"/>
      <c r="CB5" s="58"/>
      <c r="CC5" s="58"/>
      <c r="CD5" s="58"/>
      <c r="CE5" s="58"/>
      <c r="CF5" s="58"/>
      <c r="CG5" s="58"/>
      <c r="CH5" s="58"/>
      <c r="CI5" s="58"/>
      <c r="CJ5" s="58"/>
      <c r="CK5" s="58"/>
      <c r="CL5" s="58"/>
      <c r="CM5" s="58"/>
      <c r="CN5" s="58"/>
      <c r="CO5" s="58"/>
      <c r="CP5" s="58"/>
      <c r="CQ5" s="58"/>
      <c r="CR5" s="59"/>
      <c r="CS5" s="59"/>
      <c r="CT5" s="59"/>
      <c r="CU5" s="59"/>
      <c r="CV5" s="59"/>
      <c r="CW5" s="59"/>
      <c r="CX5" s="59"/>
      <c r="CY5" s="59"/>
      <c r="CZ5" s="59"/>
      <c r="DA5" s="59"/>
    </row>
    <row r="6" spans="2:105" s="3" customFormat="1" ht="24.95" customHeight="1" x14ac:dyDescent="0.25">
      <c r="D6" s="76">
        <f ca="1">TODAY()</f>
        <v>46076</v>
      </c>
      <c r="E6" s="77"/>
      <c r="F6" s="77"/>
      <c r="G6" s="77"/>
      <c r="H6" s="77"/>
      <c r="I6" s="77"/>
      <c r="J6" s="77"/>
      <c r="K6" s="77"/>
      <c r="L6" s="77"/>
      <c r="M6" s="78"/>
      <c r="N6" s="79"/>
      <c r="O6" s="80"/>
      <c r="P6" s="80"/>
      <c r="Q6" s="80"/>
      <c r="R6" s="80"/>
      <c r="S6" s="80"/>
      <c r="T6" s="80"/>
      <c r="U6" s="80"/>
      <c r="V6" s="80"/>
      <c r="W6" s="81"/>
      <c r="X6" s="105"/>
      <c r="Y6" s="106"/>
      <c r="Z6" s="106"/>
      <c r="AA6" s="107"/>
      <c r="AB6" s="82">
        <v>0</v>
      </c>
      <c r="AC6" s="83"/>
      <c r="AD6" s="83"/>
      <c r="AE6" s="84"/>
      <c r="AF6" s="62"/>
      <c r="AG6" s="62"/>
      <c r="AH6" s="62"/>
      <c r="AI6" s="62"/>
      <c r="AJ6" s="62"/>
      <c r="AK6" s="62"/>
      <c r="AL6" s="63"/>
      <c r="AM6" s="63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 t="s">
        <v>15</v>
      </c>
      <c r="BE6" s="37"/>
      <c r="BF6" s="37"/>
      <c r="BG6" s="37"/>
      <c r="BH6" s="37"/>
      <c r="BI6" s="37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0"/>
      <c r="CN6" s="60"/>
      <c r="CO6" s="60"/>
      <c r="CP6" s="60"/>
      <c r="CQ6" s="60"/>
      <c r="CR6" s="61"/>
      <c r="CS6" s="61"/>
      <c r="CT6" s="61"/>
      <c r="CU6" s="61"/>
      <c r="CV6" s="61"/>
      <c r="CW6" s="61"/>
      <c r="CX6" s="61"/>
      <c r="CY6" s="61"/>
      <c r="CZ6" s="61"/>
      <c r="DA6" s="61"/>
    </row>
    <row r="7" spans="2:105" s="53" customFormat="1" x14ac:dyDescent="0.25">
      <c r="AE7" s="54"/>
      <c r="AF7" s="108"/>
      <c r="AG7" s="108"/>
      <c r="AH7" s="108"/>
      <c r="AI7" s="108"/>
      <c r="AJ7" s="108"/>
      <c r="AK7" s="108"/>
      <c r="AL7" s="108"/>
      <c r="AM7" s="108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  <c r="CM7" s="55"/>
      <c r="CN7" s="55"/>
      <c r="CO7" s="55"/>
      <c r="CP7" s="55"/>
      <c r="CQ7" s="55"/>
    </row>
    <row r="8" spans="2:105" x14ac:dyDescent="0.25">
      <c r="B8" s="2" t="s">
        <v>17</v>
      </c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F8" s="19"/>
      <c r="AG8" s="19"/>
      <c r="AH8" s="19"/>
      <c r="AI8" s="19"/>
      <c r="AJ8" s="19"/>
      <c r="AK8" s="19"/>
    </row>
    <row r="9" spans="2:105" x14ac:dyDescent="0.25">
      <c r="D9" s="1" t="s">
        <v>35</v>
      </c>
      <c r="AA9" s="1" t="str">
        <f>IF(AN11&gt;1,"Valor mínimo até:","")</f>
        <v/>
      </c>
      <c r="AD9" s="29"/>
      <c r="AE9" s="28"/>
      <c r="AG9" s="101" t="str">
        <f>IF(AN11&gt;1,IF(G11=G12,AI12,AI11),"")</f>
        <v/>
      </c>
      <c r="AH9" s="101"/>
      <c r="AI9" s="101"/>
      <c r="AJ9" s="101"/>
      <c r="AK9" s="101"/>
      <c r="AL9" s="101"/>
    </row>
    <row r="10" spans="2:105" s="5" customFormat="1" ht="20.100000000000001" customHeight="1" x14ac:dyDescent="0.25">
      <c r="B10" s="4"/>
      <c r="D10" s="11" t="s">
        <v>18</v>
      </c>
      <c r="E10" s="9"/>
      <c r="F10" s="10"/>
      <c r="G10" s="11" t="s">
        <v>13</v>
      </c>
      <c r="H10" s="9"/>
      <c r="I10" s="9"/>
      <c r="J10" s="10"/>
      <c r="K10" s="85"/>
      <c r="L10" s="86"/>
      <c r="M10" s="86"/>
      <c r="N10" s="87"/>
      <c r="O10" s="85"/>
      <c r="P10" s="86"/>
      <c r="Q10" s="86"/>
      <c r="R10" s="87"/>
      <c r="S10" s="85"/>
      <c r="T10" s="86"/>
      <c r="U10" s="86"/>
      <c r="V10" s="87"/>
      <c r="W10" s="12" t="s">
        <v>19</v>
      </c>
      <c r="X10" s="13"/>
      <c r="Y10" s="13"/>
      <c r="Z10" s="14"/>
      <c r="AA10" s="32" t="s">
        <v>20</v>
      </c>
      <c r="AB10" s="9"/>
      <c r="AC10" s="9"/>
      <c r="AD10" s="65" t="s">
        <v>14</v>
      </c>
      <c r="AE10" s="12" t="s">
        <v>21</v>
      </c>
      <c r="AF10" s="13"/>
      <c r="AG10" s="13"/>
      <c r="AH10" s="14"/>
      <c r="AI10" s="98" t="s">
        <v>22</v>
      </c>
      <c r="AJ10" s="99"/>
      <c r="AK10" s="99"/>
      <c r="AL10" s="99"/>
      <c r="AM10" s="100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8"/>
      <c r="CA10" s="58"/>
      <c r="CB10" s="58"/>
      <c r="CC10" s="58"/>
      <c r="CD10" s="58"/>
      <c r="CE10" s="58"/>
      <c r="CF10" s="58"/>
      <c r="CG10" s="58"/>
      <c r="CH10" s="58"/>
      <c r="CI10" s="58"/>
      <c r="CJ10" s="58"/>
      <c r="CK10" s="58"/>
      <c r="CL10" s="58"/>
      <c r="CM10" s="58"/>
      <c r="CN10" s="58"/>
      <c r="CO10" s="58"/>
      <c r="CP10" s="58"/>
      <c r="CQ10" s="58"/>
      <c r="CR10" s="59"/>
      <c r="CS10" s="59"/>
      <c r="CT10" s="59"/>
      <c r="CU10" s="59"/>
      <c r="CV10" s="59"/>
      <c r="CW10" s="59"/>
      <c r="CX10" s="59"/>
      <c r="CY10" s="59"/>
      <c r="CZ10" s="59"/>
      <c r="DA10" s="59"/>
    </row>
    <row r="11" spans="2:105" x14ac:dyDescent="0.25">
      <c r="B11" s="75" t="s">
        <v>33</v>
      </c>
      <c r="D11" s="30" t="str">
        <f t="shared" ref="D11:D20" si="0">TEXT(AN11,"00")</f>
        <v>01</v>
      </c>
      <c r="E11" s="20"/>
      <c r="F11" s="21"/>
      <c r="G11" s="72">
        <f>IF(AO11&lt;$AV$5,$AV$5,AO11)*IF($AB$6&lt;=0,0,1)</f>
        <v>0</v>
      </c>
      <c r="H11" s="73"/>
      <c r="I11" s="73"/>
      <c r="J11" s="74"/>
      <c r="K11" s="66"/>
      <c r="L11" s="67"/>
      <c r="M11" s="67"/>
      <c r="N11" s="68"/>
      <c r="O11" s="72"/>
      <c r="P11" s="73"/>
      <c r="Q11" s="73"/>
      <c r="R11" s="74"/>
      <c r="S11" s="69"/>
      <c r="T11" s="70"/>
      <c r="U11" s="70"/>
      <c r="V11" s="71"/>
      <c r="W11" s="66">
        <f>G11+K11+O11</f>
        <v>0</v>
      </c>
      <c r="X11" s="67"/>
      <c r="Y11" s="67"/>
      <c r="Z11" s="68"/>
      <c r="AA11" s="66">
        <f>IF($AD$10="Sim",W11*0.05,0)</f>
        <v>0</v>
      </c>
      <c r="AB11" s="67"/>
      <c r="AC11" s="67"/>
      <c r="AD11" s="68"/>
      <c r="AE11" s="66">
        <f t="shared" ref="AE11:AE20" si="1">W11-AA11</f>
        <v>0</v>
      </c>
      <c r="AF11" s="67"/>
      <c r="AG11" s="67"/>
      <c r="AH11" s="68"/>
      <c r="AI11" s="88">
        <f ca="1">IF($D$6&gt;0,IF(AN11=1,$D$6+3,$D$6+(2*AN11)+1),"")</f>
        <v>46079</v>
      </c>
      <c r="AJ11" s="89"/>
      <c r="AK11" s="89"/>
      <c r="AL11" s="89"/>
      <c r="AM11" s="90"/>
      <c r="AN11" s="33">
        <f>IF(AB6&gt;0,IF(INT(AV5/(AB6*AU5))&gt;0,INT(AV5/(AB6*AU5)),1),1)</f>
        <v>1</v>
      </c>
      <c r="AO11" s="33">
        <f>ROUND($AB$6*$AU$5*AN11,2)</f>
        <v>0</v>
      </c>
    </row>
    <row r="12" spans="2:105" ht="15" customHeight="1" x14ac:dyDescent="0.25">
      <c r="B12" s="75"/>
      <c r="D12" s="30" t="str">
        <f t="shared" si="0"/>
        <v>02</v>
      </c>
      <c r="E12" s="20"/>
      <c r="F12" s="21"/>
      <c r="G12" s="72">
        <f t="shared" ref="G12:G20" si="2">IF(AO12&lt;$AV$5,$AV$5,AO12)*IF($AB$6&lt;=0,0,1)</f>
        <v>0</v>
      </c>
      <c r="H12" s="73"/>
      <c r="I12" s="73"/>
      <c r="J12" s="74"/>
      <c r="K12" s="66"/>
      <c r="L12" s="67"/>
      <c r="M12" s="67"/>
      <c r="N12" s="68"/>
      <c r="O12" s="69"/>
      <c r="P12" s="70"/>
      <c r="Q12" s="70"/>
      <c r="R12" s="71"/>
      <c r="S12" s="69"/>
      <c r="T12" s="70"/>
      <c r="U12" s="70"/>
      <c r="V12" s="71"/>
      <c r="W12" s="66">
        <f t="shared" ref="W12:W20" si="3">G12+K12+O12</f>
        <v>0</v>
      </c>
      <c r="X12" s="67"/>
      <c r="Y12" s="67"/>
      <c r="Z12" s="68"/>
      <c r="AA12" s="66">
        <f t="shared" ref="AA12:AA20" si="4">IF($AD$10="Sim",W12*0.05,0)</f>
        <v>0</v>
      </c>
      <c r="AB12" s="67"/>
      <c r="AC12" s="67"/>
      <c r="AD12" s="68"/>
      <c r="AE12" s="66">
        <f t="shared" si="1"/>
        <v>0</v>
      </c>
      <c r="AF12" s="67"/>
      <c r="AG12" s="67"/>
      <c r="AH12" s="68"/>
      <c r="AI12" s="88">
        <f ca="1">IF($D$6&gt;0,AI11+2,"")</f>
        <v>46081</v>
      </c>
      <c r="AJ12" s="89"/>
      <c r="AK12" s="89"/>
      <c r="AL12" s="89"/>
      <c r="AM12" s="90"/>
      <c r="AN12" s="33">
        <f>AN11+1</f>
        <v>2</v>
      </c>
      <c r="AO12" s="33">
        <f t="shared" ref="AO12:AO20" si="5">ROUND($AB$6*$AU$5*AN12,2)</f>
        <v>0</v>
      </c>
    </row>
    <row r="13" spans="2:105" x14ac:dyDescent="0.25">
      <c r="B13" s="75"/>
      <c r="D13" s="30" t="str">
        <f t="shared" si="0"/>
        <v>03</v>
      </c>
      <c r="E13" s="20"/>
      <c r="F13" s="21"/>
      <c r="G13" s="72">
        <f t="shared" si="2"/>
        <v>0</v>
      </c>
      <c r="H13" s="73"/>
      <c r="I13" s="73"/>
      <c r="J13" s="74"/>
      <c r="K13" s="66"/>
      <c r="L13" s="67"/>
      <c r="M13" s="67"/>
      <c r="N13" s="68"/>
      <c r="O13" s="69"/>
      <c r="P13" s="70"/>
      <c r="Q13" s="70"/>
      <c r="R13" s="71"/>
      <c r="S13" s="69"/>
      <c r="T13" s="70"/>
      <c r="U13" s="70"/>
      <c r="V13" s="71"/>
      <c r="W13" s="66">
        <f t="shared" si="3"/>
        <v>0</v>
      </c>
      <c r="X13" s="67"/>
      <c r="Y13" s="67"/>
      <c r="Z13" s="68"/>
      <c r="AA13" s="66">
        <f t="shared" si="4"/>
        <v>0</v>
      </c>
      <c r="AB13" s="67"/>
      <c r="AC13" s="67"/>
      <c r="AD13" s="68"/>
      <c r="AE13" s="66">
        <f t="shared" si="1"/>
        <v>0</v>
      </c>
      <c r="AF13" s="67"/>
      <c r="AG13" s="67"/>
      <c r="AH13" s="68"/>
      <c r="AI13" s="88">
        <f t="shared" ref="AI13:AI20" ca="1" si="6">IF($D$6&gt;0,AI12+2,"")</f>
        <v>46083</v>
      </c>
      <c r="AJ13" s="89"/>
      <c r="AK13" s="89"/>
      <c r="AL13" s="89"/>
      <c r="AM13" s="90"/>
      <c r="AN13" s="33">
        <f t="shared" ref="AN13:AN20" si="7">AN12+1</f>
        <v>3</v>
      </c>
      <c r="AO13" s="33">
        <f t="shared" si="5"/>
        <v>0</v>
      </c>
    </row>
    <row r="14" spans="2:105" x14ac:dyDescent="0.25">
      <c r="B14" s="75"/>
      <c r="D14" s="30" t="str">
        <f t="shared" si="0"/>
        <v>04</v>
      </c>
      <c r="E14" s="20"/>
      <c r="F14" s="21"/>
      <c r="G14" s="72">
        <f t="shared" si="2"/>
        <v>0</v>
      </c>
      <c r="H14" s="73"/>
      <c r="I14" s="73"/>
      <c r="J14" s="74"/>
      <c r="K14" s="66"/>
      <c r="L14" s="67"/>
      <c r="M14" s="67"/>
      <c r="N14" s="68"/>
      <c r="O14" s="69"/>
      <c r="P14" s="70"/>
      <c r="Q14" s="70"/>
      <c r="R14" s="71"/>
      <c r="S14" s="69"/>
      <c r="T14" s="70"/>
      <c r="U14" s="70"/>
      <c r="V14" s="71"/>
      <c r="W14" s="66">
        <f t="shared" si="3"/>
        <v>0</v>
      </c>
      <c r="X14" s="67"/>
      <c r="Y14" s="67"/>
      <c r="Z14" s="68"/>
      <c r="AA14" s="66">
        <f t="shared" si="4"/>
        <v>0</v>
      </c>
      <c r="AB14" s="67"/>
      <c r="AC14" s="67"/>
      <c r="AD14" s="68"/>
      <c r="AE14" s="66">
        <f t="shared" si="1"/>
        <v>0</v>
      </c>
      <c r="AF14" s="67"/>
      <c r="AG14" s="67"/>
      <c r="AH14" s="68"/>
      <c r="AI14" s="88">
        <f t="shared" ca="1" si="6"/>
        <v>46085</v>
      </c>
      <c r="AJ14" s="89"/>
      <c r="AK14" s="89"/>
      <c r="AL14" s="89"/>
      <c r="AM14" s="90"/>
      <c r="AN14" s="33">
        <f t="shared" si="7"/>
        <v>4</v>
      </c>
      <c r="AO14" s="33">
        <f t="shared" si="5"/>
        <v>0</v>
      </c>
    </row>
    <row r="15" spans="2:105" x14ac:dyDescent="0.25">
      <c r="B15" s="75"/>
      <c r="D15" s="30" t="str">
        <f t="shared" si="0"/>
        <v>05</v>
      </c>
      <c r="E15" s="20"/>
      <c r="F15" s="21"/>
      <c r="G15" s="72">
        <f t="shared" si="2"/>
        <v>0</v>
      </c>
      <c r="H15" s="73"/>
      <c r="I15" s="73"/>
      <c r="J15" s="74"/>
      <c r="K15" s="66"/>
      <c r="L15" s="67"/>
      <c r="M15" s="67"/>
      <c r="N15" s="68"/>
      <c r="O15" s="69"/>
      <c r="P15" s="70"/>
      <c r="Q15" s="70"/>
      <c r="R15" s="71"/>
      <c r="S15" s="69"/>
      <c r="T15" s="70"/>
      <c r="U15" s="70"/>
      <c r="V15" s="71"/>
      <c r="W15" s="66">
        <f t="shared" si="3"/>
        <v>0</v>
      </c>
      <c r="X15" s="67"/>
      <c r="Y15" s="67"/>
      <c r="Z15" s="68"/>
      <c r="AA15" s="66">
        <f t="shared" si="4"/>
        <v>0</v>
      </c>
      <c r="AB15" s="67"/>
      <c r="AC15" s="67"/>
      <c r="AD15" s="68"/>
      <c r="AE15" s="66">
        <f t="shared" si="1"/>
        <v>0</v>
      </c>
      <c r="AF15" s="67"/>
      <c r="AG15" s="67"/>
      <c r="AH15" s="68"/>
      <c r="AI15" s="88">
        <f t="shared" ca="1" si="6"/>
        <v>46087</v>
      </c>
      <c r="AJ15" s="89"/>
      <c r="AK15" s="89"/>
      <c r="AL15" s="89"/>
      <c r="AM15" s="90"/>
      <c r="AN15" s="33">
        <f t="shared" si="7"/>
        <v>5</v>
      </c>
      <c r="AO15" s="33">
        <f t="shared" si="5"/>
        <v>0</v>
      </c>
    </row>
    <row r="16" spans="2:105" x14ac:dyDescent="0.25">
      <c r="B16" s="75"/>
      <c r="D16" s="30" t="str">
        <f t="shared" si="0"/>
        <v>06</v>
      </c>
      <c r="E16" s="20"/>
      <c r="F16" s="21"/>
      <c r="G16" s="72">
        <f t="shared" si="2"/>
        <v>0</v>
      </c>
      <c r="H16" s="73"/>
      <c r="I16" s="73"/>
      <c r="J16" s="74"/>
      <c r="K16" s="66"/>
      <c r="L16" s="67"/>
      <c r="M16" s="67"/>
      <c r="N16" s="68"/>
      <c r="O16" s="69"/>
      <c r="P16" s="70"/>
      <c r="Q16" s="70"/>
      <c r="R16" s="71"/>
      <c r="S16" s="69"/>
      <c r="T16" s="70"/>
      <c r="U16" s="70"/>
      <c r="V16" s="71"/>
      <c r="W16" s="66">
        <f t="shared" si="3"/>
        <v>0</v>
      </c>
      <c r="X16" s="67"/>
      <c r="Y16" s="67"/>
      <c r="Z16" s="68"/>
      <c r="AA16" s="66">
        <f t="shared" si="4"/>
        <v>0</v>
      </c>
      <c r="AB16" s="67"/>
      <c r="AC16" s="67"/>
      <c r="AD16" s="68"/>
      <c r="AE16" s="66">
        <f t="shared" si="1"/>
        <v>0</v>
      </c>
      <c r="AF16" s="67"/>
      <c r="AG16" s="67"/>
      <c r="AH16" s="68"/>
      <c r="AI16" s="88">
        <f t="shared" ca="1" si="6"/>
        <v>46089</v>
      </c>
      <c r="AJ16" s="89"/>
      <c r="AK16" s="89"/>
      <c r="AL16" s="89"/>
      <c r="AM16" s="90"/>
      <c r="AN16" s="33">
        <f t="shared" si="7"/>
        <v>6</v>
      </c>
      <c r="AO16" s="33">
        <f t="shared" si="5"/>
        <v>0</v>
      </c>
    </row>
    <row r="17" spans="2:41" x14ac:dyDescent="0.25">
      <c r="B17" s="75"/>
      <c r="D17" s="30" t="str">
        <f t="shared" si="0"/>
        <v>07</v>
      </c>
      <c r="E17" s="20"/>
      <c r="F17" s="21"/>
      <c r="G17" s="72">
        <f t="shared" si="2"/>
        <v>0</v>
      </c>
      <c r="H17" s="73"/>
      <c r="I17" s="73"/>
      <c r="J17" s="74"/>
      <c r="K17" s="66"/>
      <c r="L17" s="67"/>
      <c r="M17" s="67"/>
      <c r="N17" s="68"/>
      <c r="O17" s="69"/>
      <c r="P17" s="70"/>
      <c r="Q17" s="70"/>
      <c r="R17" s="71"/>
      <c r="S17" s="69"/>
      <c r="T17" s="70"/>
      <c r="U17" s="70"/>
      <c r="V17" s="71"/>
      <c r="W17" s="66">
        <f t="shared" si="3"/>
        <v>0</v>
      </c>
      <c r="X17" s="67"/>
      <c r="Y17" s="67"/>
      <c r="Z17" s="68"/>
      <c r="AA17" s="66">
        <f t="shared" si="4"/>
        <v>0</v>
      </c>
      <c r="AB17" s="67"/>
      <c r="AC17" s="67"/>
      <c r="AD17" s="68"/>
      <c r="AE17" s="66">
        <f t="shared" si="1"/>
        <v>0</v>
      </c>
      <c r="AF17" s="67"/>
      <c r="AG17" s="67"/>
      <c r="AH17" s="68"/>
      <c r="AI17" s="88">
        <f t="shared" ca="1" si="6"/>
        <v>46091</v>
      </c>
      <c r="AJ17" s="89"/>
      <c r="AK17" s="89"/>
      <c r="AL17" s="89"/>
      <c r="AM17" s="90"/>
      <c r="AN17" s="33">
        <f t="shared" si="7"/>
        <v>7</v>
      </c>
      <c r="AO17" s="33">
        <f t="shared" si="5"/>
        <v>0</v>
      </c>
    </row>
    <row r="18" spans="2:41" x14ac:dyDescent="0.25">
      <c r="B18" s="18"/>
      <c r="D18" s="30" t="str">
        <f t="shared" si="0"/>
        <v>08</v>
      </c>
      <c r="E18" s="20"/>
      <c r="F18" s="21"/>
      <c r="G18" s="72">
        <f t="shared" si="2"/>
        <v>0</v>
      </c>
      <c r="H18" s="73"/>
      <c r="I18" s="73"/>
      <c r="J18" s="74"/>
      <c r="K18" s="66"/>
      <c r="L18" s="67"/>
      <c r="M18" s="67"/>
      <c r="N18" s="68"/>
      <c r="O18" s="69"/>
      <c r="P18" s="70"/>
      <c r="Q18" s="70"/>
      <c r="R18" s="71"/>
      <c r="S18" s="69"/>
      <c r="T18" s="70"/>
      <c r="U18" s="70"/>
      <c r="V18" s="71"/>
      <c r="W18" s="66">
        <f t="shared" si="3"/>
        <v>0</v>
      </c>
      <c r="X18" s="67"/>
      <c r="Y18" s="67"/>
      <c r="Z18" s="68"/>
      <c r="AA18" s="66">
        <f t="shared" si="4"/>
        <v>0</v>
      </c>
      <c r="AB18" s="67"/>
      <c r="AC18" s="67"/>
      <c r="AD18" s="68"/>
      <c r="AE18" s="66">
        <f t="shared" si="1"/>
        <v>0</v>
      </c>
      <c r="AF18" s="67"/>
      <c r="AG18" s="67"/>
      <c r="AH18" s="68"/>
      <c r="AI18" s="88">
        <f t="shared" ca="1" si="6"/>
        <v>46093</v>
      </c>
      <c r="AJ18" s="89"/>
      <c r="AK18" s="89"/>
      <c r="AL18" s="89"/>
      <c r="AM18" s="90"/>
      <c r="AN18" s="33">
        <f t="shared" si="7"/>
        <v>8</v>
      </c>
      <c r="AO18" s="33">
        <f t="shared" si="5"/>
        <v>0</v>
      </c>
    </row>
    <row r="19" spans="2:41" x14ac:dyDescent="0.25">
      <c r="B19" s="18"/>
      <c r="D19" s="30" t="str">
        <f t="shared" si="0"/>
        <v>09</v>
      </c>
      <c r="E19" s="20"/>
      <c r="F19" s="21"/>
      <c r="G19" s="72">
        <f t="shared" si="2"/>
        <v>0</v>
      </c>
      <c r="H19" s="73"/>
      <c r="I19" s="73"/>
      <c r="J19" s="74"/>
      <c r="K19" s="66"/>
      <c r="L19" s="67"/>
      <c r="M19" s="67"/>
      <c r="N19" s="68"/>
      <c r="O19" s="69"/>
      <c r="P19" s="70"/>
      <c r="Q19" s="70"/>
      <c r="R19" s="71"/>
      <c r="S19" s="69"/>
      <c r="T19" s="70"/>
      <c r="U19" s="70"/>
      <c r="V19" s="71"/>
      <c r="W19" s="66">
        <f t="shared" si="3"/>
        <v>0</v>
      </c>
      <c r="X19" s="67"/>
      <c r="Y19" s="67"/>
      <c r="Z19" s="68"/>
      <c r="AA19" s="66">
        <f t="shared" si="4"/>
        <v>0</v>
      </c>
      <c r="AB19" s="67"/>
      <c r="AC19" s="67"/>
      <c r="AD19" s="68"/>
      <c r="AE19" s="66">
        <f t="shared" si="1"/>
        <v>0</v>
      </c>
      <c r="AF19" s="67"/>
      <c r="AG19" s="67"/>
      <c r="AH19" s="68"/>
      <c r="AI19" s="88">
        <f t="shared" ca="1" si="6"/>
        <v>46095</v>
      </c>
      <c r="AJ19" s="89"/>
      <c r="AK19" s="89"/>
      <c r="AL19" s="89"/>
      <c r="AM19" s="90"/>
      <c r="AN19" s="33">
        <f t="shared" si="7"/>
        <v>9</v>
      </c>
      <c r="AO19" s="33">
        <f t="shared" si="5"/>
        <v>0</v>
      </c>
    </row>
    <row r="20" spans="2:41" x14ac:dyDescent="0.25">
      <c r="D20" s="30" t="str">
        <f t="shared" si="0"/>
        <v>10</v>
      </c>
      <c r="E20" s="20"/>
      <c r="F20" s="21"/>
      <c r="G20" s="72">
        <f t="shared" si="2"/>
        <v>0</v>
      </c>
      <c r="H20" s="73"/>
      <c r="I20" s="73"/>
      <c r="J20" s="74"/>
      <c r="K20" s="66"/>
      <c r="L20" s="67"/>
      <c r="M20" s="67"/>
      <c r="N20" s="68"/>
      <c r="O20" s="69"/>
      <c r="P20" s="70"/>
      <c r="Q20" s="70"/>
      <c r="R20" s="71"/>
      <c r="S20" s="69"/>
      <c r="T20" s="70"/>
      <c r="U20" s="70"/>
      <c r="V20" s="71"/>
      <c r="W20" s="66">
        <f t="shared" si="3"/>
        <v>0</v>
      </c>
      <c r="X20" s="67"/>
      <c r="Y20" s="67"/>
      <c r="Z20" s="68"/>
      <c r="AA20" s="66">
        <f t="shared" si="4"/>
        <v>0</v>
      </c>
      <c r="AB20" s="67"/>
      <c r="AC20" s="67"/>
      <c r="AD20" s="68"/>
      <c r="AE20" s="66">
        <f t="shared" si="1"/>
        <v>0</v>
      </c>
      <c r="AF20" s="67"/>
      <c r="AG20" s="67"/>
      <c r="AH20" s="68"/>
      <c r="AI20" s="88">
        <f t="shared" ca="1" si="6"/>
        <v>46097</v>
      </c>
      <c r="AJ20" s="89"/>
      <c r="AK20" s="89"/>
      <c r="AL20" s="89"/>
      <c r="AM20" s="90"/>
      <c r="AN20" s="33">
        <f t="shared" si="7"/>
        <v>10</v>
      </c>
      <c r="AO20" s="33">
        <f t="shared" si="5"/>
        <v>0</v>
      </c>
    </row>
    <row r="21" spans="2:41" x14ac:dyDescent="0.25">
      <c r="D21" s="1" t="s">
        <v>34</v>
      </c>
    </row>
    <row r="23" spans="2:41" x14ac:dyDescent="0.25">
      <c r="B23" s="2"/>
    </row>
  </sheetData>
  <sheetProtection algorithmName="SHA-512" hashValue="4VZhPcXdyRlHwUsq7/pouBukVP5z+zPQfDttZgztkMTdybBkQ0nwe6Od5xdtituTD96Dp7bu2pNTiDfiCAkphw==" saltValue="ytTe5cCcYCk0LdZq4cgWDA==" spinCount="100000" sheet="1" objects="1" scenarios="1"/>
  <mergeCells count="36">
    <mergeCell ref="B11:B17"/>
    <mergeCell ref="G11:J11"/>
    <mergeCell ref="O11:R11"/>
    <mergeCell ref="AI11:AM11"/>
    <mergeCell ref="G12:J12"/>
    <mergeCell ref="AI12:AM12"/>
    <mergeCell ref="G13:J13"/>
    <mergeCell ref="AI13:AM13"/>
    <mergeCell ref="G14:J14"/>
    <mergeCell ref="G20:J20"/>
    <mergeCell ref="AI20:AM20"/>
    <mergeCell ref="AI14:AM14"/>
    <mergeCell ref="G15:J15"/>
    <mergeCell ref="AI15:AM15"/>
    <mergeCell ref="G16:J16"/>
    <mergeCell ref="AI16:AM16"/>
    <mergeCell ref="G17:J17"/>
    <mergeCell ref="AI17:AM17"/>
    <mergeCell ref="O10:R10"/>
    <mergeCell ref="K10:N10"/>
    <mergeCell ref="G18:J18"/>
    <mergeCell ref="AI18:AM18"/>
    <mergeCell ref="G19:J19"/>
    <mergeCell ref="AI19:AM19"/>
    <mergeCell ref="S10:V10"/>
    <mergeCell ref="AI10:AM10"/>
    <mergeCell ref="AG9:AL9"/>
    <mergeCell ref="X5:AA5"/>
    <mergeCell ref="D5:M5"/>
    <mergeCell ref="N5:W5"/>
    <mergeCell ref="AB5:AE5"/>
    <mergeCell ref="D6:M6"/>
    <mergeCell ref="N6:W6"/>
    <mergeCell ref="X6:AA6"/>
    <mergeCell ref="AB6:AE6"/>
    <mergeCell ref="AF7:AM7"/>
  </mergeCells>
  <dataValidations count="4">
    <dataValidation type="date" allowBlank="1" showInputMessage="1" showErrorMessage="1" sqref="D6:M6" xr:uid="{077B2C5C-A76B-42CE-A330-279007F0C55C}">
      <formula1>45722</formula1>
      <formula2>46387</formula2>
    </dataValidation>
    <dataValidation type="decimal" operator="greaterThan" allowBlank="1" showInputMessage="1" showErrorMessage="1" sqref="N6:W6" xr:uid="{08BB6059-BFB9-490D-AEC3-6B2DC326CFCF}">
      <formula1>0</formula1>
    </dataValidation>
    <dataValidation type="decimal" allowBlank="1" showInputMessage="1" showErrorMessage="1" error="Valores entre 0 e 999999999,9999" sqref="X6:AE6" xr:uid="{09DB150E-AAB7-44DE-AEAA-D4DE6CCC0BA8}">
      <formula1>0</formula1>
      <formula2>999999999.9999</formula2>
    </dataValidation>
    <dataValidation type="list" allowBlank="1" showInputMessage="1" showErrorMessage="1" sqref="AD10" xr:uid="{85F2076A-B63A-4D8F-8887-C524E7430515}">
      <formula1>$BD$5:$BD$6</formula1>
    </dataValidation>
  </dataValidations>
  <pageMargins left="0.70866141732283472" right="0.31496062992125984" top="0.35433070866141736" bottom="0.35433070866141736" header="0.31496062992125984" footer="0.31496062992125984"/>
  <pageSetup paperSize="9" scale="84" orientation="portrait" verticalDpi="59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IMPORTACAO</vt:lpstr>
      <vt:lpstr>EXPORTACAO</vt:lpstr>
      <vt:lpstr>EXPORTACAO!Area_de_impressao</vt:lpstr>
      <vt:lpstr>IMPORTACAO!Area_de_impressao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Mendes</dc:creator>
  <cp:lastModifiedBy>NASCIMENTO Sigride</cp:lastModifiedBy>
  <cp:lastPrinted>2025-04-08T14:28:01Z</cp:lastPrinted>
  <dcterms:created xsi:type="dcterms:W3CDTF">2024-08-17T14:36:00Z</dcterms:created>
  <dcterms:modified xsi:type="dcterms:W3CDTF">2026-02-23T11:09:37Z</dcterms:modified>
</cp:coreProperties>
</file>